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</sheets>
  <definedNames>
    <definedName name="Conv_2021">Assumptions!$B$18</definedName>
    <definedName name="Option1_categories">'Option 1'!$C$35:$C$40</definedName>
    <definedName name="Option1_costs">'Option 1'!$P$35:$T$40</definedName>
    <definedName name="Option2_categories">'Option 2'!$C$36:$C$41</definedName>
    <definedName name="Option2_costs">'Option 2'!$P$36:$T$41</definedName>
    <definedName name="_xlnm.Print_Area" localSheetId="1">Summary!$A$1:$J$35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7" i="74" l="1"/>
  <c r="A36" i="74"/>
  <c r="K10" i="71"/>
  <c r="Q10" i="71"/>
  <c r="K20" i="71"/>
  <c r="Q20" i="71"/>
  <c r="K12" i="71"/>
  <c r="K13" i="71"/>
  <c r="K22" i="71"/>
  <c r="Q22" i="71"/>
  <c r="K14" i="71"/>
  <c r="Q14" i="71"/>
  <c r="K15" i="71"/>
  <c r="K24" i="71"/>
  <c r="Q24" i="71"/>
  <c r="K16" i="71"/>
  <c r="K25" i="71"/>
  <c r="Q25" i="71"/>
  <c r="K23" i="71"/>
  <c r="Q23" i="71"/>
  <c r="Q38" i="71"/>
  <c r="Q39" i="71"/>
  <c r="Q40" i="71"/>
  <c r="Q41" i="71"/>
  <c r="L10" i="71"/>
  <c r="L19" i="71"/>
  <c r="R19" i="71"/>
  <c r="L20" i="71"/>
  <c r="R20" i="71"/>
  <c r="L12" i="71"/>
  <c r="R12" i="71"/>
  <c r="L21" i="71"/>
  <c r="R21" i="71"/>
  <c r="L13" i="71"/>
  <c r="L22" i="71"/>
  <c r="R22" i="71"/>
  <c r="R10" i="71"/>
  <c r="L14" i="71"/>
  <c r="L23" i="71"/>
  <c r="R23" i="71"/>
  <c r="R14" i="71"/>
  <c r="L15" i="71"/>
  <c r="L24" i="71"/>
  <c r="R24" i="71"/>
  <c r="L16" i="71"/>
  <c r="L25" i="71"/>
  <c r="R25" i="71"/>
  <c r="R16" i="71"/>
  <c r="R38" i="71"/>
  <c r="R39" i="71"/>
  <c r="R40" i="71"/>
  <c r="R41" i="71"/>
  <c r="M10" i="71"/>
  <c r="S10" i="71"/>
  <c r="M19" i="71"/>
  <c r="S19" i="71"/>
  <c r="M20" i="71"/>
  <c r="S20" i="71"/>
  <c r="M12" i="71"/>
  <c r="M13" i="71"/>
  <c r="M22" i="71"/>
  <c r="S22" i="71"/>
  <c r="M14" i="71"/>
  <c r="S14" i="71"/>
  <c r="M15" i="71"/>
  <c r="M24" i="71"/>
  <c r="S24" i="71"/>
  <c r="S15" i="71"/>
  <c r="M16" i="71"/>
  <c r="M25" i="71"/>
  <c r="S25" i="71"/>
  <c r="S38" i="71"/>
  <c r="S39" i="71"/>
  <c r="S40" i="71"/>
  <c r="S41" i="71"/>
  <c r="N10" i="71"/>
  <c r="T10" i="71"/>
  <c r="N20" i="71"/>
  <c r="T20" i="71"/>
  <c r="N12" i="71"/>
  <c r="T12" i="71"/>
  <c r="N13" i="71"/>
  <c r="N22" i="71"/>
  <c r="T22" i="71"/>
  <c r="N14" i="71"/>
  <c r="N23" i="71"/>
  <c r="T23" i="71"/>
  <c r="T14" i="71"/>
  <c r="N15" i="71"/>
  <c r="N24" i="71"/>
  <c r="T24" i="71"/>
  <c r="N16" i="71"/>
  <c r="N25" i="71"/>
  <c r="T25" i="71"/>
  <c r="T38" i="71"/>
  <c r="T39" i="71"/>
  <c r="T40" i="71"/>
  <c r="T41" i="71"/>
  <c r="J10" i="71"/>
  <c r="P10" i="71"/>
  <c r="J19" i="71"/>
  <c r="P19" i="71"/>
  <c r="J20" i="71"/>
  <c r="P20" i="71"/>
  <c r="J12" i="71"/>
  <c r="J13" i="71"/>
  <c r="J22" i="71"/>
  <c r="P22" i="71"/>
  <c r="P13" i="71"/>
  <c r="J14" i="71"/>
  <c r="P14" i="71"/>
  <c r="J15" i="71"/>
  <c r="J24" i="71"/>
  <c r="P24" i="71"/>
  <c r="J16" i="71"/>
  <c r="P16" i="71"/>
  <c r="P38" i="71"/>
  <c r="P39" i="71"/>
  <c r="P40" i="71"/>
  <c r="P41" i="71"/>
  <c r="K10" i="69"/>
  <c r="K19" i="69"/>
  <c r="Q19" i="69"/>
  <c r="K20" i="69"/>
  <c r="Q20" i="69"/>
  <c r="K12" i="69"/>
  <c r="K21" i="69"/>
  <c r="Q21" i="69"/>
  <c r="K13" i="69"/>
  <c r="K22" i="69"/>
  <c r="Q22" i="69"/>
  <c r="K14" i="69"/>
  <c r="Q14" i="69"/>
  <c r="K15" i="69"/>
  <c r="Q15" i="69"/>
  <c r="K16" i="69"/>
  <c r="Q37" i="69"/>
  <c r="Q38" i="69"/>
  <c r="Q39" i="69"/>
  <c r="Q40" i="69"/>
  <c r="L10" i="69"/>
  <c r="L19" i="69"/>
  <c r="R19" i="69"/>
  <c r="L20" i="69"/>
  <c r="R20" i="69"/>
  <c r="L12" i="69"/>
  <c r="L21" i="69"/>
  <c r="R21" i="69"/>
  <c r="L13" i="69"/>
  <c r="R13" i="69"/>
  <c r="L14" i="69"/>
  <c r="L23" i="69"/>
  <c r="R23" i="69"/>
  <c r="L15" i="69"/>
  <c r="L24" i="69"/>
  <c r="R24" i="69"/>
  <c r="R15" i="69"/>
  <c r="L16" i="69"/>
  <c r="R16" i="69"/>
  <c r="R37" i="69"/>
  <c r="R38" i="69"/>
  <c r="R39" i="69"/>
  <c r="R40" i="69"/>
  <c r="M10" i="69"/>
  <c r="M19" i="69"/>
  <c r="S19" i="69"/>
  <c r="M20" i="69"/>
  <c r="S20" i="69"/>
  <c r="M12" i="69"/>
  <c r="M21" i="69"/>
  <c r="S21" i="69"/>
  <c r="M13" i="69"/>
  <c r="M22" i="69"/>
  <c r="S22" i="69"/>
  <c r="M14" i="69"/>
  <c r="S14" i="69"/>
  <c r="M15" i="69"/>
  <c r="S15" i="69"/>
  <c r="M16" i="69"/>
  <c r="M25" i="69"/>
  <c r="S25" i="69"/>
  <c r="M24" i="69"/>
  <c r="S24" i="69"/>
  <c r="S37" i="69"/>
  <c r="S38" i="69"/>
  <c r="S39" i="69"/>
  <c r="S40" i="69"/>
  <c r="N10" i="69"/>
  <c r="N19" i="69"/>
  <c r="T19" i="69"/>
  <c r="N20" i="69"/>
  <c r="T20" i="69"/>
  <c r="N12" i="69"/>
  <c r="N21" i="69"/>
  <c r="T21" i="69"/>
  <c r="N13" i="69"/>
  <c r="N22" i="69"/>
  <c r="T22" i="69"/>
  <c r="N14" i="69"/>
  <c r="T14" i="69"/>
  <c r="N15" i="69"/>
  <c r="N16" i="69"/>
  <c r="N25" i="69"/>
  <c r="T25" i="69"/>
  <c r="T16" i="69"/>
  <c r="N23" i="69"/>
  <c r="T23" i="69"/>
  <c r="T37" i="69"/>
  <c r="T38" i="69"/>
  <c r="T39" i="69"/>
  <c r="T40" i="69"/>
  <c r="J10" i="69"/>
  <c r="J19" i="69"/>
  <c r="P19" i="69"/>
  <c r="J20" i="69"/>
  <c r="P20" i="69"/>
  <c r="J12" i="69"/>
  <c r="J21" i="69"/>
  <c r="P21" i="69"/>
  <c r="J13" i="69"/>
  <c r="J22" i="69"/>
  <c r="P22" i="69"/>
  <c r="J14" i="69"/>
  <c r="P14" i="69"/>
  <c r="J15" i="69"/>
  <c r="P15" i="69"/>
  <c r="J16" i="69"/>
  <c r="P16" i="69"/>
  <c r="J23" i="69"/>
  <c r="P23" i="69"/>
  <c r="P37" i="69"/>
  <c r="P38" i="69"/>
  <c r="P39" i="69"/>
  <c r="P40" i="69"/>
  <c r="T31" i="69"/>
  <c r="S31" i="69"/>
  <c r="R31" i="69"/>
  <c r="Q31" i="69"/>
  <c r="P31" i="69"/>
  <c r="T30" i="69"/>
  <c r="S30" i="69"/>
  <c r="R30" i="69"/>
  <c r="Q30" i="69"/>
  <c r="P30" i="69"/>
  <c r="T29" i="69"/>
  <c r="S29" i="69"/>
  <c r="R29" i="69"/>
  <c r="Q29" i="69"/>
  <c r="P29" i="69"/>
  <c r="A5" i="71"/>
  <c r="A5" i="69"/>
  <c r="P11" i="69"/>
  <c r="P28" i="69"/>
  <c r="E14" i="74"/>
  <c r="F14" i="74"/>
  <c r="G14" i="74"/>
  <c r="H14" i="74"/>
  <c r="I14" i="74"/>
  <c r="J14" i="74"/>
  <c r="B16" i="74"/>
  <c r="Q11" i="69"/>
  <c r="Q28" i="69"/>
  <c r="R11" i="69"/>
  <c r="R28" i="69"/>
  <c r="S11" i="69"/>
  <c r="S28" i="69"/>
  <c r="T11" i="69"/>
  <c r="T28" i="69"/>
  <c r="C45" i="69"/>
  <c r="P11" i="71"/>
  <c r="P28" i="71"/>
  <c r="P31" i="71"/>
  <c r="Q11" i="71"/>
  <c r="Q28" i="71"/>
  <c r="Q31" i="71"/>
  <c r="R11" i="71"/>
  <c r="R28" i="71"/>
  <c r="R31" i="71"/>
  <c r="S11" i="71"/>
  <c r="S28" i="71"/>
  <c r="S31" i="71"/>
  <c r="T11" i="71"/>
  <c r="T28" i="71"/>
  <c r="T31" i="71"/>
  <c r="C46" i="71"/>
  <c r="D13" i="70"/>
  <c r="D12" i="70"/>
  <c r="D11" i="70"/>
  <c r="D22" i="70"/>
  <c r="D21" i="70"/>
  <c r="D20" i="70"/>
  <c r="T32" i="71"/>
  <c r="S32" i="71"/>
  <c r="R32" i="71"/>
  <c r="Q32" i="71"/>
  <c r="P32" i="71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G19" i="70"/>
  <c r="H19" i="70"/>
  <c r="I19" i="70"/>
  <c r="J19" i="70"/>
  <c r="F19" i="70"/>
  <c r="C43" i="71"/>
  <c r="C42" i="71"/>
  <c r="C42" i="69"/>
  <c r="C41" i="69"/>
  <c r="A2" i="71"/>
  <c r="A1" i="71"/>
  <c r="A2" i="69"/>
  <c r="A1" i="69"/>
  <c r="A2" i="72"/>
  <c r="A1" i="72"/>
  <c r="A2" i="70"/>
  <c r="A1" i="70"/>
  <c r="D5" i="72"/>
  <c r="A11" i="71"/>
  <c r="A10" i="71"/>
  <c r="A12" i="71"/>
  <c r="A13" i="71"/>
  <c r="A14" i="71"/>
  <c r="A15" i="71"/>
  <c r="A17" i="71"/>
  <c r="A19" i="71"/>
  <c r="A25" i="71"/>
  <c r="A28" i="71"/>
  <c r="J25" i="71"/>
  <c r="P25" i="71"/>
  <c r="P13" i="69"/>
  <c r="T15" i="71"/>
  <c r="S16" i="71"/>
  <c r="S12" i="71"/>
  <c r="S13" i="71"/>
  <c r="S37" i="71"/>
  <c r="R13" i="71"/>
  <c r="Q15" i="71"/>
  <c r="K19" i="71"/>
  <c r="Q19" i="71"/>
  <c r="B18" i="74"/>
  <c r="J24" i="69"/>
  <c r="P24" i="69"/>
  <c r="Q16" i="71"/>
  <c r="J23" i="71"/>
  <c r="P23" i="71"/>
  <c r="N19" i="71"/>
  <c r="T19" i="71"/>
  <c r="M23" i="71"/>
  <c r="S23" i="71"/>
  <c r="M23" i="69"/>
  <c r="S23" i="69"/>
  <c r="S10" i="69"/>
  <c r="T10" i="69"/>
  <c r="S16" i="69"/>
  <c r="P15" i="71"/>
  <c r="T16" i="71"/>
  <c r="T13" i="71"/>
  <c r="T37" i="71"/>
  <c r="N21" i="71"/>
  <c r="T21" i="71"/>
  <c r="R15" i="71"/>
  <c r="R37" i="71"/>
  <c r="Q13" i="71"/>
  <c r="R14" i="69"/>
  <c r="L25" i="69"/>
  <c r="R25" i="69"/>
  <c r="L22" i="69"/>
  <c r="R22" i="69"/>
  <c r="Q10" i="69"/>
  <c r="J21" i="71"/>
  <c r="P21" i="71"/>
  <c r="P36" i="71"/>
  <c r="P12" i="71"/>
  <c r="P37" i="71"/>
  <c r="M21" i="71"/>
  <c r="S21" i="71"/>
  <c r="S36" i="71"/>
  <c r="K21" i="71"/>
  <c r="Q21" i="71"/>
  <c r="Q36" i="71"/>
  <c r="Q12" i="71"/>
  <c r="Q37" i="71"/>
  <c r="N24" i="69"/>
  <c r="T24" i="69"/>
  <c r="T35" i="69"/>
  <c r="T15" i="69"/>
  <c r="Q16" i="69"/>
  <c r="K25" i="69"/>
  <c r="Q25" i="69"/>
  <c r="R36" i="71"/>
  <c r="K24" i="69"/>
  <c r="Q24" i="69"/>
  <c r="S13" i="69"/>
  <c r="K23" i="69"/>
  <c r="Q23" i="69"/>
  <c r="R12" i="69"/>
  <c r="P10" i="69"/>
  <c r="J25" i="69"/>
  <c r="P25" i="69"/>
  <c r="P35" i="69"/>
  <c r="T13" i="69"/>
  <c r="Q35" i="69"/>
  <c r="S35" i="69"/>
  <c r="R10" i="69"/>
  <c r="Q13" i="69"/>
  <c r="T12" i="69"/>
  <c r="Q12" i="69"/>
  <c r="S12" i="69"/>
  <c r="P12" i="69"/>
  <c r="P36" i="69"/>
  <c r="R35" i="69"/>
  <c r="T36" i="69"/>
  <c r="T36" i="71"/>
  <c r="T42" i="71"/>
  <c r="T44" i="71"/>
  <c r="R42" i="71"/>
  <c r="Q42" i="71"/>
  <c r="P42" i="71"/>
  <c r="P44" i="71"/>
  <c r="Q43" i="71"/>
  <c r="Q44" i="71"/>
  <c r="P43" i="71"/>
  <c r="T41" i="69"/>
  <c r="T42" i="69"/>
  <c r="S36" i="69"/>
  <c r="S42" i="71"/>
  <c r="R43" i="71"/>
  <c r="R44" i="71"/>
  <c r="R36" i="69"/>
  <c r="Q36" i="69"/>
  <c r="S41" i="69"/>
  <c r="R41" i="69"/>
  <c r="P41" i="69"/>
  <c r="T43" i="71"/>
  <c r="S43" i="71"/>
  <c r="D46" i="71"/>
  <c r="S44" i="71"/>
  <c r="V44" i="71"/>
  <c r="V3" i="71"/>
  <c r="T43" i="69"/>
  <c r="Q41" i="69"/>
  <c r="P43" i="69"/>
  <c r="P42" i="69"/>
  <c r="R43" i="69"/>
  <c r="R42" i="69"/>
  <c r="Q42" i="69"/>
  <c r="Q43" i="69"/>
  <c r="S43" i="69"/>
  <c r="S42" i="69"/>
  <c r="D45" i="69"/>
  <c r="V43" i="69"/>
  <c r="V3" i="69"/>
  <c r="D6" i="72"/>
  <c r="D7" i="70"/>
  <c r="F11" i="70"/>
  <c r="F13" i="70"/>
  <c r="G12" i="70"/>
  <c r="H11" i="70"/>
  <c r="H13" i="70"/>
  <c r="I12" i="70"/>
  <c r="I20" i="70"/>
  <c r="F21" i="70"/>
  <c r="J12" i="70"/>
  <c r="I22" i="70"/>
  <c r="I21" i="70"/>
  <c r="J21" i="70"/>
  <c r="H22" i="70"/>
  <c r="H20" i="70"/>
  <c r="F12" i="70"/>
  <c r="G11" i="70"/>
  <c r="G13" i="70"/>
  <c r="H12" i="70"/>
  <c r="I11" i="70"/>
  <c r="I13" i="70"/>
  <c r="J11" i="70"/>
  <c r="H21" i="70"/>
  <c r="G22" i="70"/>
  <c r="F22" i="70"/>
  <c r="J20" i="70"/>
  <c r="G21" i="70"/>
  <c r="G20" i="70"/>
  <c r="J22" i="70"/>
  <c r="J13" i="70"/>
  <c r="F20" i="70"/>
  <c r="F23" i="70" l="1"/>
  <c r="T12" i="72"/>
  <c r="G23" i="70"/>
  <c r="J23" i="70"/>
  <c r="J14" i="70"/>
  <c r="R12" i="72"/>
  <c r="Q12" i="72"/>
  <c r="O12" i="72"/>
  <c r="I14" i="70"/>
  <c r="M12" i="72"/>
  <c r="K12" i="72"/>
  <c r="I12" i="72"/>
  <c r="G14" i="70"/>
  <c r="G12" i="72"/>
  <c r="H23" i="70"/>
  <c r="S12" i="72"/>
  <c r="I23" i="70"/>
  <c r="P12" i="72"/>
  <c r="N12" i="72"/>
  <c r="L12" i="72"/>
  <c r="X12" i="72" s="1"/>
  <c r="H14" i="70"/>
  <c r="J12" i="72"/>
  <c r="H12" i="72"/>
  <c r="F14" i="70"/>
  <c r="F16" i="70" s="1"/>
  <c r="F12" i="72"/>
  <c r="V12" i="72" s="1"/>
  <c r="W12" i="72" l="1"/>
  <c r="Y12" i="72"/>
  <c r="Z12" i="72"/>
  <c r="F25" i="70"/>
  <c r="AB12" i="72" l="1"/>
</calcChain>
</file>

<file path=xl/sharedStrings.xml><?xml version="1.0" encoding="utf-8"?>
<sst xmlns="http://schemas.openxmlformats.org/spreadsheetml/2006/main" count="283" uniqueCount="84">
  <si>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</si>
  <si>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</si>
  <si>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</si>
  <si>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</si>
  <si>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</si>
  <si>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</si>
  <si>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</si>
  <si>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</si>
  <si>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</si>
  <si>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</si>
  <si>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</si>
  <si>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</si>
  <si>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</si>
  <si>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</si>
  <si>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</si>
  <si>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</si>
  <si>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</si>
  <si>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</si>
  <si>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</si>
  <si>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</si>
  <si>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</si>
  <si>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</si>
  <si>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</si>
  <si>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</si>
  <si>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</si>
  <si>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</si>
  <si>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</si>
  <si>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</si>
  <si>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</si>
  <si>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</si>
  <si>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</si>
  <si>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</si>
  <si>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</si>
  <si>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</si>
  <si>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</si>
  <si>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</si>
  <si>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</si>
  <si>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</si>
  <si>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</si>
  <si>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</si>
  <si>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</si>
  <si>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</si>
  <si>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</si>
  <si>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</si>
  <si>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</si>
  <si>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</si>
  <si>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</si>
  <si>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</si>
  <si>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</si>
  <si>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</si>
  <si>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</si>
  <si>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Device replacement</t>
  </si>
  <si>
    <t>Item</t>
  </si>
  <si>
    <t>Existing fleet</t>
  </si>
  <si>
    <t>Average life
(years)</t>
  </si>
  <si>
    <t>Laptop</t>
  </si>
  <si>
    <t>Desktop</t>
  </si>
  <si>
    <t>iPhone</t>
  </si>
  <si>
    <t>iPad</t>
  </si>
  <si>
    <t>Television</t>
  </si>
  <si>
    <t>Projector</t>
  </si>
  <si>
    <t>Video Conference units</t>
  </si>
  <si>
    <t>Labour hours to deploy</t>
  </si>
  <si>
    <t>Laptop - Annualised refresh</t>
  </si>
  <si>
    <t>Desktop - Annualised refresh</t>
  </si>
  <si>
    <t>iPhone - Annualised refresh</t>
  </si>
  <si>
    <t>iPad - Annualised refresh</t>
  </si>
  <si>
    <t>Television - Annualised refresh</t>
  </si>
  <si>
    <t>Projector - Annualised refresh</t>
  </si>
  <si>
    <t>Video Conference units - Annualised refresh</t>
  </si>
  <si>
    <t>Laptop - Upfront bulk refresh</t>
  </si>
  <si>
    <t>Desktop - Upfront bulk refresh</t>
  </si>
  <si>
    <t>iPhone - Upfront bulk refresh</t>
  </si>
  <si>
    <t>iPad - Upfront bulk refresh</t>
  </si>
  <si>
    <t>Television - Upfront bulk refresh</t>
  </si>
  <si>
    <t>Projector - Upfront bulk refresh</t>
  </si>
  <si>
    <t>Video Conference units - Upfront bulk refresh</t>
  </si>
  <si>
    <t>Options</t>
  </si>
  <si>
    <t>NPV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</si>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</sst>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&quot;Convert to December&quot;\ ####"/>
    <numFmt numFmtId="171" formatCode="0.00000000000000000"/>
    <numFmt numFmtId="172" formatCode="0.000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1" fontId="0" fillId="0" borderId="0" xfId="0" applyNumberFormat="1" applyFont="1"/>
    <xf numFmtId="10" fontId="35" fillId="0" borderId="0" xfId="26" applyNumberFormat="1" applyFont="1"/>
    <xf numFmtId="170" fontId="36" fillId="0" borderId="0" xfId="0" applyNumberFormat="1" applyFont="1"/>
    <xf numFmtId="0" fontId="36" fillId="0" borderId="0" xfId="0" applyFont="1"/>
    <xf numFmtId="170" fontId="37" fillId="0" borderId="0" xfId="0" applyNumberFormat="1" applyFont="1"/>
    <xf numFmtId="0" fontId="37" fillId="0" borderId="0" xfId="0" applyFont="1"/>
    <xf numFmtId="172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171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3" fontId="49" fillId="2" borderId="1" xfId="0" applyNumberFormat="1" applyFont="1" applyFill="1" applyBorder="1"/>
    <xf numFmtId="167" fontId="45" fillId="2" borderId="1" xfId="0" applyNumberFormat="1" applyFont="1" applyFill="1" applyBorder="1" applyAlignment="1">
      <alignment horizontal="right" vertical="top"/>
    </xf>
    <xf numFmtId="3" fontId="43" fillId="2" borderId="0" xfId="26" applyNumberFormat="1" applyFont="1" applyFill="1"/>
    <xf numFmtId="0" fontId="50" fillId="0" borderId="3" xfId="0" applyFont="1" applyBorder="1"/>
    <xf numFmtId="3" fontId="12" fillId="0" borderId="1" xfId="0" applyNumberFormat="1" applyFont="1" applyFill="1" applyBorder="1"/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6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Device replacement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VPN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1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6" t="s">
        <v>40</v>
      </c>
      <c r="C6" s="67"/>
      <c r="D6" s="115" t="b">
        <f>AND('Option 1'!V3, 'Option 2'!V3)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 ca="1">INDEX(Summary!$F$11:$J$43,MATCH($D$5&amp;F$11,Summary!$D$11:$D$43,0), MATCH(Output!F$10, Summary!$F$10:$J$10,0))/1000</f>
        <v>220.30221289024195</v>
      </c>
      <c r="G12" s="78">
        <f ca="1">INDEX(Summary!$F$11:$J$43,MATCH($D$5&amp;G$11,Summary!$D$11:$D$43,0), MATCH(Output!G$10, Summary!$F$10:$J$10,0))/1000</f>
        <v>3659.6279550459917</v>
      </c>
      <c r="H12" s="78">
        <f ca="1">INDEX(Summary!$F$11:$J$43,MATCH($D$5&amp;H$11,Summary!$D$11:$D$43,0), MATCH(Output!H$10, Summary!$F$10:$J$10,0))/1000</f>
        <v>0</v>
      </c>
      <c r="I12" s="78">
        <f ca="1">INDEX(Summary!$F$11:$J$43,MATCH($D$5&amp;I$11,Summary!$D$11:$D$43,0), MATCH(Output!I$10, Summary!$F$10:$J$10,0))/1000</f>
        <v>220.30221289024195</v>
      </c>
      <c r="J12" s="78">
        <f ca="1">INDEX(Summary!$F$11:$J$43,MATCH($D$5&amp;J$11,Summary!$D$11:$D$43,0), MATCH(Output!J$10, Summary!$F$10:$J$10,0))/1000</f>
        <v>3659.6279550459917</v>
      </c>
      <c r="K12" s="78">
        <f ca="1">INDEX(Summary!$F$11:$J$43,MATCH($D$5&amp;K$11,Summary!$D$11:$D$43,0), MATCH(Output!K$10, Summary!$F$10:$J$10,0))/1000</f>
        <v>0</v>
      </c>
      <c r="L12" s="78">
        <f ca="1">INDEX(Summary!$F$11:$J$43,MATCH($D$5&amp;L$11,Summary!$D$11:$D$43,0), MATCH(Output!L$10, Summary!$F$10:$J$10,0))/1000</f>
        <v>220.30221289024195</v>
      </c>
      <c r="M12" s="78">
        <f ca="1">INDEX(Summary!$F$11:$J$43,MATCH($D$5&amp;M$11,Summary!$D$11:$D$43,0), MATCH(Output!M$10, Summary!$F$10:$J$10,0))/1000</f>
        <v>3659.6279550459917</v>
      </c>
      <c r="N12" s="78">
        <f ca="1">INDEX(Summary!$F$11:$J$43,MATCH($D$5&amp;N$11,Summary!$D$11:$D$43,0), MATCH(Output!N$10, Summary!$F$10:$J$10,0))/1000</f>
        <v>0</v>
      </c>
      <c r="O12" s="78">
        <f ca="1">INDEX(Summary!$F$11:$J$43,MATCH($D$5&amp;O$11,Summary!$D$11:$D$43,0), MATCH(Output!O$10, Summary!$F$10:$J$10,0))/1000</f>
        <v>220.30221289024195</v>
      </c>
      <c r="P12" s="78">
        <f ca="1">INDEX(Summary!$F$11:$J$43,MATCH($D$5&amp;P$11,Summary!$D$11:$D$43,0), MATCH(Output!P$10, Summary!$F$10:$J$10,0))/1000</f>
        <v>3659.6279550459917</v>
      </c>
      <c r="Q12" s="78">
        <f ca="1">INDEX(Summary!$F$11:$J$43,MATCH($D$5&amp;Q$11,Summary!$D$11:$D$43,0), MATCH(Output!Q$10, Summary!$F$10:$J$10,0))/1000</f>
        <v>0</v>
      </c>
      <c r="R12" s="78">
        <f ca="1">INDEX(Summary!$F$11:$J$43,MATCH($D$5&amp;R$11,Summary!$D$11:$D$43,0), MATCH(Output!R$10, Summary!$F$10:$J$10,0))/1000</f>
        <v>220.30221289024195</v>
      </c>
      <c r="S12" s="78">
        <f ca="1">INDEX(Summary!$F$11:$J$43,MATCH($D$5&amp;S$11,Summary!$D$11:$D$43,0), MATCH(Output!S$10, Summary!$F$10:$J$10,0))/1000</f>
        <v>3659.6279550459917</v>
      </c>
      <c r="T12" s="78">
        <f ca="1">INDEX(Summary!$F$11:$J$43,MATCH($D$5&amp;T$11,Summary!$D$11:$D$43,0), MATCH(Output!T$10, Summary!$F$10:$J$10,0))/1000</f>
        <v>0</v>
      </c>
      <c r="U12" s="67"/>
      <c r="V12" s="78">
        <f ca="1">SUMIF($F$10:$T$10,V$10,$F12:$T12)</f>
        <v>3879.9301679362338</v>
      </c>
      <c r="W12" s="78">
        <f ca="1">SUMIF($F$10:$T$10,W$10,$F12:$T12)</f>
        <v>3879.9301679362338</v>
      </c>
      <c r="X12" s="78">
        <f ca="1">SUMIF($F$10:$T$10,X$10,$F12:$T12)</f>
        <v>3879.9301679362338</v>
      </c>
      <c r="Y12" s="78">
        <f ca="1">SUMIF($F$10:$T$10,Y$10,$F12:$T12)</f>
        <v>3879.9301679362338</v>
      </c>
      <c r="Z12" s="78">
        <f ca="1">SUMIF($F$10:$T$10,Z$10,$F12:$T12)</f>
        <v>3879.9301679362338</v>
      </c>
      <c r="AA12" s="67"/>
      <c r="AB12" s="78">
        <f ca="1">SUM(V12:Z12)</f>
        <v>19399.65083968117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4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0.14062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Device replacement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49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22</v>
      </c>
      <c r="D6" s="43" t="s">
        <v>29</v>
      </c>
      <c r="E6" s="3"/>
      <c r="O6"/>
    </row>
    <row r="7" spans="1:17" ht="12.75" customHeight="1" x14ac:dyDescent="0.25">
      <c r="B7" s="116" t="s">
        <v>40</v>
      </c>
      <c r="D7" s="115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29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O10"/>
    </row>
    <row r="11" spans="1:17" ht="12.75" customHeight="1" x14ac:dyDescent="0.25">
      <c r="C11" s="1" t="s">
        <v>2</v>
      </c>
      <c r="D11" s="118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220302.21289024194</v>
      </c>
      <c r="G11" s="9">
        <f t="shared" ca="1" si="0"/>
        <v>220302.21289024194</v>
      </c>
      <c r="H11" s="9">
        <f t="shared" ca="1" si="0"/>
        <v>220302.21289024194</v>
      </c>
      <c r="I11" s="9">
        <f t="shared" ca="1" si="0"/>
        <v>220302.21289024194</v>
      </c>
      <c r="J11" s="9">
        <f t="shared" ca="1" si="0"/>
        <v>220302.21289024194</v>
      </c>
      <c r="O11"/>
    </row>
    <row r="12" spans="1:17" ht="12.75" customHeight="1" x14ac:dyDescent="0.25">
      <c r="C12" s="1" t="s">
        <v>1</v>
      </c>
      <c r="D12" s="118" t="str">
        <f>B10&amp;C12</f>
        <v>Option 1Materials</v>
      </c>
      <c r="E12" s="3"/>
      <c r="F12" s="9">
        <f t="shared" ca="1" si="0"/>
        <v>3659627.9550459916</v>
      </c>
      <c r="G12" s="9">
        <f t="shared" ca="1" si="0"/>
        <v>3659627.9550459916</v>
      </c>
      <c r="H12" s="9">
        <f t="shared" ca="1" si="0"/>
        <v>3659627.9550459916</v>
      </c>
      <c r="I12" s="9">
        <f t="shared" ca="1" si="0"/>
        <v>3659627.9550459916</v>
      </c>
      <c r="J12" s="9">
        <f t="shared" ca="1" si="0"/>
        <v>3659627.9550459916</v>
      </c>
      <c r="O12"/>
    </row>
    <row r="13" spans="1:17" ht="12.75" customHeight="1" x14ac:dyDescent="0.2">
      <c r="C13" s="1" t="s">
        <v>4</v>
      </c>
      <c r="D13" s="118" t="str">
        <f>B10&amp;C13</f>
        <v>Option 1Contracts</v>
      </c>
      <c r="F13" s="9">
        <f t="shared" ca="1" si="0"/>
        <v>0</v>
      </c>
      <c r="G13" s="9">
        <f t="shared" ca="1" si="0"/>
        <v>0</v>
      </c>
      <c r="H13" s="9">
        <f t="shared" ca="1" si="0"/>
        <v>0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100"/>
      <c r="C14" s="25" t="s">
        <v>50</v>
      </c>
      <c r="D14" s="25"/>
      <c r="E14" s="25"/>
      <c r="F14" s="26">
        <f ca="1">SUM(F11:F13)</f>
        <v>3879930.1679362333</v>
      </c>
      <c r="G14" s="26">
        <f ca="1">SUM(G11:G13)</f>
        <v>3879930.1679362333</v>
      </c>
      <c r="H14" s="26">
        <f ca="1">SUM(H11:H13)</f>
        <v>3879930.1679362333</v>
      </c>
      <c r="I14" s="26">
        <f ca="1">SUM(I11:I13)</f>
        <v>3879930.1679362333</v>
      </c>
      <c r="J14" s="26">
        <f ca="1">SUM(J11:J13)</f>
        <v>3879930.1679362333</v>
      </c>
      <c r="K14" s="44"/>
      <c r="L14" s="2"/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27" t="s">
        <v>78</v>
      </c>
      <c r="D16" s="26"/>
      <c r="E16" s="26"/>
      <c r="F16" s="26">
        <f ca="1">NPV(Assumptions!$B$6,F14:J14)</f>
        <v>17896495.526923485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2</v>
      </c>
      <c r="D20" s="118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804152.95577828377</v>
      </c>
      <c r="G20" s="9">
        <f t="shared" ca="1" si="2"/>
        <v>0</v>
      </c>
      <c r="H20" s="9">
        <f t="shared" ca="1" si="2"/>
        <v>47398.273193127563</v>
      </c>
      <c r="I20" s="9">
        <f t="shared" ca="1" si="2"/>
        <v>88972.867768669486</v>
      </c>
      <c r="J20" s="9">
        <f t="shared" ca="1" si="2"/>
        <v>715180.08800961426</v>
      </c>
    </row>
    <row r="21" spans="2:12" x14ac:dyDescent="0.2">
      <c r="C21" s="1" t="s">
        <v>1</v>
      </c>
      <c r="D21" s="118" t="str">
        <f>B19&amp;C21</f>
        <v>Option 2Materials</v>
      </c>
      <c r="E21" s="3"/>
      <c r="F21" s="9">
        <f t="shared" ca="1" si="2"/>
        <v>11415723.304049561</v>
      </c>
      <c r="G21" s="9">
        <f t="shared" ca="1" si="2"/>
        <v>0</v>
      </c>
      <c r="H21" s="9">
        <f t="shared" ca="1" si="2"/>
        <v>2237260.5546477889</v>
      </c>
      <c r="I21" s="9">
        <f t="shared" ca="1" si="2"/>
        <v>2956583.884459849</v>
      </c>
      <c r="J21" s="9">
        <f t="shared" ca="1" si="2"/>
        <v>8459139.4195897114</v>
      </c>
    </row>
    <row r="22" spans="2:12" x14ac:dyDescent="0.2">
      <c r="C22" s="1" t="s">
        <v>4</v>
      </c>
      <c r="D22" s="118" t="str">
        <f>B19&amp;C22</f>
        <v>Option 2Contracts</v>
      </c>
      <c r="F22" s="9">
        <f t="shared" ca="1" si="2"/>
        <v>0</v>
      </c>
      <c r="G22" s="9">
        <f t="shared" ca="1" si="2"/>
        <v>0</v>
      </c>
      <c r="H22" s="9">
        <f t="shared" ca="1" si="2"/>
        <v>0</v>
      </c>
      <c r="I22" s="9">
        <f t="shared" ca="1" si="2"/>
        <v>0</v>
      </c>
      <c r="J22" s="9">
        <f t="shared" ca="1" si="2"/>
        <v>0</v>
      </c>
    </row>
    <row r="23" spans="2:12" x14ac:dyDescent="0.2">
      <c r="B23" s="100"/>
      <c r="C23" s="25" t="s">
        <v>50</v>
      </c>
      <c r="D23" s="25"/>
      <c r="E23" s="25"/>
      <c r="F23" s="26">
        <f ca="1">SUM(F20:F22)</f>
        <v>12219876.259827845</v>
      </c>
      <c r="G23" s="26">
        <f ca="1">SUM(G20:G22)</f>
        <v>0</v>
      </c>
      <c r="H23" s="26">
        <f ca="1">SUM(H20:H22)</f>
        <v>2284658.8278409163</v>
      </c>
      <c r="I23" s="26">
        <f ca="1">SUM(I20:I22)</f>
        <v>3045556.7522285185</v>
      </c>
      <c r="J23" s="26">
        <f ca="1">SUM(J20:J22)</f>
        <v>9174319.5075993259</v>
      </c>
      <c r="L23" s="2"/>
    </row>
    <row r="24" spans="2:12" x14ac:dyDescent="0.2">
      <c r="B24" s="100"/>
    </row>
    <row r="25" spans="2:12" x14ac:dyDescent="0.2">
      <c r="C25" s="127" t="s">
        <v>78</v>
      </c>
      <c r="D25" s="26"/>
      <c r="E25" s="26"/>
      <c r="F25" s="26">
        <f ca="1">NPV(Assumptions!$B$6,F23:J23)</f>
        <v>24741871.380315479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100"/>
      <c r="C28" s="100"/>
      <c r="E28" s="100"/>
      <c r="F28" s="100"/>
      <c r="G28" s="100"/>
      <c r="H28" s="100"/>
      <c r="I28" s="100"/>
      <c r="J28" s="100"/>
      <c r="K28" s="100"/>
    </row>
    <row r="29" spans="2:12" x14ac:dyDescent="0.2">
      <c r="B29" s="100"/>
      <c r="C29" s="100"/>
      <c r="E29" s="100"/>
      <c r="F29" s="100"/>
      <c r="G29" s="100"/>
      <c r="H29" s="100"/>
      <c r="I29" s="100"/>
      <c r="J29" s="100"/>
      <c r="K29" s="100"/>
    </row>
    <row r="30" spans="2:12" x14ac:dyDescent="0.2">
      <c r="B30" s="100"/>
      <c r="C30" s="100"/>
      <c r="E30" s="100"/>
      <c r="F30" s="100"/>
      <c r="G30" s="100"/>
      <c r="H30" s="100"/>
      <c r="I30" s="100"/>
      <c r="J30" s="100"/>
      <c r="K30" s="100"/>
    </row>
    <row r="31" spans="2:12" x14ac:dyDescent="0.2">
      <c r="B31" s="100"/>
      <c r="C31" s="100"/>
      <c r="E31" s="100"/>
      <c r="F31" s="100"/>
      <c r="G31" s="100"/>
      <c r="H31" s="100"/>
      <c r="I31" s="100"/>
      <c r="J31" s="100"/>
      <c r="K31" s="100"/>
    </row>
    <row r="32" spans="2:12" x14ac:dyDescent="0.2">
      <c r="B32" s="100"/>
      <c r="C32" s="100"/>
      <c r="E32" s="100"/>
      <c r="F32" s="100"/>
      <c r="G32" s="100"/>
      <c r="H32" s="100"/>
      <c r="I32" s="100"/>
      <c r="J32" s="100"/>
      <c r="K32" s="100"/>
    </row>
    <row r="33" spans="2:11" x14ac:dyDescent="0.2">
      <c r="B33" s="100"/>
      <c r="C33" s="100"/>
      <c r="E33" s="100"/>
      <c r="F33" s="100"/>
      <c r="G33" s="100"/>
      <c r="H33" s="100"/>
      <c r="I33" s="100"/>
      <c r="J33" s="100"/>
      <c r="K33" s="100"/>
    </row>
    <row r="34" spans="2:11" x14ac:dyDescent="0.2">
      <c r="B34" s="100"/>
      <c r="C34" s="100"/>
      <c r="E34" s="100"/>
      <c r="F34" s="100"/>
      <c r="G34" s="100"/>
      <c r="H34" s="100"/>
      <c r="I34" s="100"/>
      <c r="J34" s="100"/>
      <c r="K34" s="100"/>
    </row>
  </sheetData>
  <conditionalFormatting sqref="D7">
    <cfRule type="expression" dxfId="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Assumptions!$A$36:$A$38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3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3" max="3" width="17.42578125" customWidth="1"/>
    <col min="4" max="4" width="15.5703125" customWidth="1"/>
    <col min="5" max="5" width="14.42578125" customWidth="1"/>
  </cols>
  <sheetData>
    <row r="1" spans="1:35" ht="21" x14ac:dyDescent="0.35">
      <c r="A1" s="18" t="s">
        <v>51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7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30" t="s">
        <v>79</v>
      </c>
      <c r="B11" s="28"/>
      <c r="C11" s="103"/>
      <c r="D11" s="131" t="s">
        <v>82</v>
      </c>
      <c r="E11" s="131" t="s">
        <v>82</v>
      </c>
      <c r="F11" s="131" t="s">
        <v>82</v>
      </c>
      <c r="G11" s="131" t="s">
        <v>82</v>
      </c>
      <c r="H11" s="131" t="s">
        <v>82</v>
      </c>
      <c r="I11" s="131" t="s">
        <v>82</v>
      </c>
      <c r="J11" s="131" t="s">
        <v>83</v>
      </c>
    </row>
    <row r="12" spans="1:35" ht="12.75" customHeight="1" x14ac:dyDescent="0.25">
      <c r="A12" s="132" t="s">
        <v>80</v>
      </c>
      <c r="B12" s="4"/>
      <c r="C12" s="132"/>
      <c r="D12" s="133" t="s">
        <v>30</v>
      </c>
      <c r="E12" s="133" t="s">
        <v>30</v>
      </c>
      <c r="F12" s="133" t="s">
        <v>30</v>
      </c>
      <c r="G12" s="133" t="s">
        <v>30</v>
      </c>
      <c r="H12" s="133" t="s">
        <v>30</v>
      </c>
      <c r="I12" s="134" t="s">
        <v>31</v>
      </c>
      <c r="J12" s="134" t="s">
        <v>31</v>
      </c>
    </row>
    <row r="13" spans="1:35" ht="12.75" customHeight="1" x14ac:dyDescent="0.25">
      <c r="A13" s="100" t="s">
        <v>81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32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f>B8</f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4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4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/>
    <row r="23" spans="1:8" ht="12.75" customHeight="1" x14ac:dyDescent="0.25"/>
    <row r="24" spans="1:8" ht="12.75" customHeight="1" x14ac:dyDescent="0.25">
      <c r="A24" s="124" t="s">
        <v>52</v>
      </c>
      <c r="B24" s="124" t="s">
        <v>53</v>
      </c>
      <c r="C24" s="124" t="s">
        <v>54</v>
      </c>
      <c r="D24" s="124" t="s">
        <v>62</v>
      </c>
    </row>
    <row r="25" spans="1:8" ht="12.75" customHeight="1" x14ac:dyDescent="0.25">
      <c r="A25" t="s">
        <v>55</v>
      </c>
      <c r="B25" s="123">
        <v>2000</v>
      </c>
      <c r="C25" s="106">
        <v>4</v>
      </c>
      <c r="D25" s="106">
        <v>2</v>
      </c>
    </row>
    <row r="26" spans="1:8" ht="12.75" customHeight="1" x14ac:dyDescent="0.25">
      <c r="A26" t="s">
        <v>56</v>
      </c>
      <c r="B26" s="123">
        <v>500</v>
      </c>
      <c r="C26" s="106">
        <v>4</v>
      </c>
      <c r="D26" s="106">
        <v>1</v>
      </c>
    </row>
    <row r="27" spans="1:8" ht="12.75" customHeight="1" x14ac:dyDescent="0.25">
      <c r="A27" t="s">
        <v>57</v>
      </c>
      <c r="B27" s="123">
        <v>1830</v>
      </c>
      <c r="C27" s="106">
        <v>3</v>
      </c>
      <c r="D27" s="106">
        <v>0.25</v>
      </c>
    </row>
    <row r="28" spans="1:8" ht="12.75" customHeight="1" x14ac:dyDescent="0.25">
      <c r="A28" t="s">
        <v>58</v>
      </c>
      <c r="B28" s="123">
        <v>1465</v>
      </c>
      <c r="C28" s="106">
        <v>2</v>
      </c>
      <c r="D28" s="106">
        <v>0.25</v>
      </c>
    </row>
    <row r="29" spans="1:8" ht="12.75" customHeight="1" x14ac:dyDescent="0.25">
      <c r="A29" t="s">
        <v>59</v>
      </c>
      <c r="B29" s="123">
        <v>150</v>
      </c>
      <c r="C29" s="106">
        <v>3</v>
      </c>
      <c r="D29" s="106">
        <v>1</v>
      </c>
    </row>
    <row r="30" spans="1:8" ht="12.75" customHeight="1" x14ac:dyDescent="0.25">
      <c r="A30" t="s">
        <v>60</v>
      </c>
      <c r="B30" s="123">
        <v>40</v>
      </c>
      <c r="C30" s="106">
        <v>4</v>
      </c>
      <c r="D30" s="106">
        <v>4</v>
      </c>
    </row>
    <row r="31" spans="1:8" ht="12.75" customHeight="1" x14ac:dyDescent="0.25">
      <c r="A31" t="s">
        <v>61</v>
      </c>
      <c r="B31" s="123">
        <v>20</v>
      </c>
      <c r="C31" s="106">
        <v>3</v>
      </c>
      <c r="D31" s="106">
        <v>4</v>
      </c>
    </row>
    <row r="32" spans="1:8" ht="12.75" customHeight="1" x14ac:dyDescent="0.25"/>
    <row r="33" spans="1:1" ht="12.75" customHeight="1" x14ac:dyDescent="0.25"/>
    <row r="34" spans="1:1" ht="12.75" customHeight="1" x14ac:dyDescent="0.25"/>
    <row r="35" spans="1:1" ht="12.75" customHeight="1" x14ac:dyDescent="0.25">
      <c r="A35" s="126" t="s">
        <v>77</v>
      </c>
    </row>
    <row r="36" spans="1:1" ht="12.75" customHeight="1" x14ac:dyDescent="0.25">
      <c r="A36" s="99" t="str">
        <f>'Option 1'!$A$3</f>
        <v>Option 1</v>
      </c>
    </row>
    <row r="37" spans="1:1" ht="12.75" customHeight="1" x14ac:dyDescent="0.25">
      <c r="A37" s="99" t="str">
        <f>'Option 2'!$A$3</f>
        <v>Option 2</v>
      </c>
    </row>
    <row r="38" spans="1:1" ht="12.75" customHeight="1" x14ac:dyDescent="0.25">
      <c r="A38" s="99"/>
    </row>
    <row r="39" spans="1:1" ht="12.75" customHeight="1" x14ac:dyDescent="0.25">
      <c r="A39" s="99"/>
    </row>
    <row r="40" spans="1:1" ht="12.75" customHeight="1" x14ac:dyDescent="0.25"/>
    <row r="41" spans="1:1" ht="12.75" customHeight="1" x14ac:dyDescent="0.25"/>
    <row r="42" spans="1:1" ht="12.75" customHeight="1" x14ac:dyDescent="0.25"/>
    <row r="43" spans="1:1" ht="12.75" customHeight="1" x14ac:dyDescent="0.25"/>
    <row r="44" spans="1:1" ht="12.75" customHeight="1" x14ac:dyDescent="0.25"/>
    <row r="45" spans="1:1" ht="12.75" customHeight="1" x14ac:dyDescent="0.25"/>
    <row r="46" spans="1:1" ht="12.75" customHeight="1" x14ac:dyDescent="0.25"/>
    <row r="47" spans="1:1" ht="12.75" customHeight="1" x14ac:dyDescent="0.25"/>
    <row r="48" spans="1:1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</sheetData>
  <dataValidations disablePrompts="1"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50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81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Device replacement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7" t="b">
        <f>SUM(V7:V43)=0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19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0" t="s">
        <v>16</v>
      </c>
      <c r="K8" s="120" t="s">
        <v>17</v>
      </c>
      <c r="L8" s="120" t="s">
        <v>18</v>
      </c>
      <c r="M8" s="120" t="s">
        <v>19</v>
      </c>
      <c r="N8" s="120" t="s">
        <v>20</v>
      </c>
      <c r="O8" s="4"/>
      <c r="P8" s="120" t="s">
        <v>16</v>
      </c>
      <c r="Q8" s="120" t="s">
        <v>17</v>
      </c>
      <c r="R8" s="120" t="s">
        <v>18</v>
      </c>
      <c r="S8" s="120" t="s">
        <v>19</v>
      </c>
      <c r="T8" s="120" t="s">
        <v>20</v>
      </c>
    </row>
    <row r="9" spans="1:25" ht="12.75" customHeight="1" x14ac:dyDescent="0.2">
      <c r="A9" s="100"/>
      <c r="B9" s="100"/>
      <c r="C9" s="4"/>
      <c r="D9" s="4"/>
      <c r="E9" s="4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/>
      <c r="C10" s="108" t="s">
        <v>63</v>
      </c>
      <c r="D10" s="109" t="s">
        <v>5</v>
      </c>
      <c r="E10" s="110" t="s">
        <v>1</v>
      </c>
      <c r="F10" s="3"/>
      <c r="G10" s="121">
        <v>2270</v>
      </c>
      <c r="H10" s="12" t="s">
        <v>43</v>
      </c>
      <c r="I10" s="3"/>
      <c r="J10" s="125">
        <f>(Assumptions!$B25+Assumptions!$B26)/Assumptions!$C25</f>
        <v>625</v>
      </c>
      <c r="K10" s="125">
        <f>(Assumptions!$B25+Assumptions!$B26)/Assumptions!$C25</f>
        <v>625</v>
      </c>
      <c r="L10" s="125">
        <f>(Assumptions!$B25+Assumptions!$B26)/Assumptions!$C25</f>
        <v>625</v>
      </c>
      <c r="M10" s="125">
        <f>(Assumptions!$B25+Assumptions!$B26)/Assumptions!$C25</f>
        <v>625</v>
      </c>
      <c r="N10" s="125">
        <f>(Assumptions!$B25+Assumptions!$B26)/Assumptions!$C25</f>
        <v>625</v>
      </c>
      <c r="O10" s="3"/>
      <c r="P10" s="8">
        <f t="shared" ref="P10:P14" si="0">J10*$G10</f>
        <v>1418750</v>
      </c>
      <c r="Q10" s="8">
        <f t="shared" ref="Q10:Q14" si="1">K10*$G10</f>
        <v>1418750</v>
      </c>
      <c r="R10" s="8">
        <f t="shared" ref="R10:R14" si="2">L10*$G10</f>
        <v>1418750</v>
      </c>
      <c r="S10" s="8">
        <f t="shared" ref="S10:S14" si="3">M10*$G10</f>
        <v>1418750</v>
      </c>
      <c r="T10" s="8">
        <f t="shared" ref="T10:T14" si="4">N10*$G10</f>
        <v>1418750</v>
      </c>
    </row>
    <row r="11" spans="1:25" ht="12.75" customHeight="1" x14ac:dyDescent="0.2">
      <c r="A11" s="7"/>
      <c r="C11" s="108" t="s">
        <v>64</v>
      </c>
      <c r="D11" s="109" t="s">
        <v>5</v>
      </c>
      <c r="E11" s="110" t="s">
        <v>1</v>
      </c>
      <c r="F11" s="3"/>
      <c r="G11" s="121">
        <v>1124.03</v>
      </c>
      <c r="H11" s="12" t="s">
        <v>43</v>
      </c>
      <c r="I11" s="3"/>
      <c r="J11" s="125"/>
      <c r="K11" s="125"/>
      <c r="L11" s="125"/>
      <c r="M11" s="125"/>
      <c r="N11" s="125"/>
      <c r="O11" s="3"/>
      <c r="P11" s="8">
        <f t="shared" si="0"/>
        <v>0</v>
      </c>
      <c r="Q11" s="8">
        <f t="shared" si="1"/>
        <v>0</v>
      </c>
      <c r="R11" s="8">
        <f t="shared" si="2"/>
        <v>0</v>
      </c>
      <c r="S11" s="8">
        <f t="shared" si="3"/>
        <v>0</v>
      </c>
      <c r="T11" s="8">
        <f t="shared" si="4"/>
        <v>0</v>
      </c>
    </row>
    <row r="12" spans="1:25" ht="12.75" customHeight="1" x14ac:dyDescent="0.2">
      <c r="A12" s="7"/>
      <c r="C12" s="108" t="s">
        <v>65</v>
      </c>
      <c r="D12" s="109" t="s">
        <v>5</v>
      </c>
      <c r="E12" s="110" t="s">
        <v>1</v>
      </c>
      <c r="F12" s="3"/>
      <c r="G12" s="121">
        <v>1225</v>
      </c>
      <c r="H12" s="12" t="s">
        <v>43</v>
      </c>
      <c r="I12" s="3"/>
      <c r="J12" s="125">
        <f>(Assumptions!$B27)/Assumptions!$C27</f>
        <v>610</v>
      </c>
      <c r="K12" s="125">
        <f>(Assumptions!$B27)/Assumptions!$C27</f>
        <v>610</v>
      </c>
      <c r="L12" s="125">
        <f>(Assumptions!$B27)/Assumptions!$C27</f>
        <v>610</v>
      </c>
      <c r="M12" s="125">
        <f>(Assumptions!$B27)/Assumptions!$C27</f>
        <v>610</v>
      </c>
      <c r="N12" s="125">
        <f>(Assumptions!$B27)/Assumptions!$C27</f>
        <v>610</v>
      </c>
      <c r="O12" s="3"/>
      <c r="P12" s="8">
        <f t="shared" si="0"/>
        <v>747250</v>
      </c>
      <c r="Q12" s="8">
        <f t="shared" si="1"/>
        <v>747250</v>
      </c>
      <c r="R12" s="8">
        <f t="shared" si="2"/>
        <v>747250</v>
      </c>
      <c r="S12" s="8">
        <f t="shared" si="3"/>
        <v>747250</v>
      </c>
      <c r="T12" s="8">
        <f t="shared" si="4"/>
        <v>747250</v>
      </c>
    </row>
    <row r="13" spans="1:25" ht="12.75" customHeight="1" x14ac:dyDescent="0.25">
      <c r="A13" s="7"/>
      <c r="C13" s="108" t="s">
        <v>66</v>
      </c>
      <c r="D13" s="109" t="s">
        <v>5</v>
      </c>
      <c r="E13" s="110" t="s">
        <v>1</v>
      </c>
      <c r="F13" s="3"/>
      <c r="G13" s="121">
        <v>1442</v>
      </c>
      <c r="H13" s="12" t="s">
        <v>43</v>
      </c>
      <c r="I13" s="3"/>
      <c r="J13" s="125">
        <f>(Assumptions!$B28)/Assumptions!$C28</f>
        <v>732.5</v>
      </c>
      <c r="K13" s="125">
        <f>(Assumptions!$B28)/Assumptions!$C28</f>
        <v>732.5</v>
      </c>
      <c r="L13" s="125">
        <f>(Assumptions!$B28)/Assumptions!$C28</f>
        <v>732.5</v>
      </c>
      <c r="M13" s="125">
        <f>(Assumptions!$B28)/Assumptions!$C28</f>
        <v>732.5</v>
      </c>
      <c r="N13" s="125">
        <f>(Assumptions!$B28)/Assumptions!$C28</f>
        <v>732.5</v>
      </c>
      <c r="O13" s="3"/>
      <c r="P13" s="8">
        <f t="shared" si="0"/>
        <v>1056265</v>
      </c>
      <c r="Q13" s="8">
        <f t="shared" si="1"/>
        <v>1056265</v>
      </c>
      <c r="R13" s="8">
        <f t="shared" si="2"/>
        <v>1056265</v>
      </c>
      <c r="S13" s="8">
        <f t="shared" si="3"/>
        <v>1056265</v>
      </c>
      <c r="T13" s="8">
        <f t="shared" si="4"/>
        <v>1056265</v>
      </c>
      <c r="Y13"/>
    </row>
    <row r="14" spans="1:25" ht="12.75" customHeight="1" x14ac:dyDescent="0.25">
      <c r="A14" s="7"/>
      <c r="C14" s="108" t="s">
        <v>67</v>
      </c>
      <c r="D14" s="109" t="s">
        <v>5</v>
      </c>
      <c r="E14" s="110" t="s">
        <v>1</v>
      </c>
      <c r="F14" s="3"/>
      <c r="G14" s="121">
        <v>1000</v>
      </c>
      <c r="H14" s="12" t="s">
        <v>43</v>
      </c>
      <c r="I14" s="3"/>
      <c r="J14" s="125">
        <f>(Assumptions!$B29)/Assumptions!$C29</f>
        <v>50</v>
      </c>
      <c r="K14" s="125">
        <f>(Assumptions!$B29)/Assumptions!$C29</f>
        <v>50</v>
      </c>
      <c r="L14" s="125">
        <f>(Assumptions!$B29)/Assumptions!$C29</f>
        <v>50</v>
      </c>
      <c r="M14" s="125">
        <f>(Assumptions!$B29)/Assumptions!$C29</f>
        <v>50</v>
      </c>
      <c r="N14" s="125">
        <f>(Assumptions!$B29)/Assumptions!$C29</f>
        <v>50</v>
      </c>
      <c r="O14" s="3"/>
      <c r="P14" s="8">
        <f t="shared" si="0"/>
        <v>50000</v>
      </c>
      <c r="Q14" s="8">
        <f t="shared" si="1"/>
        <v>50000</v>
      </c>
      <c r="R14" s="8">
        <f t="shared" si="2"/>
        <v>50000</v>
      </c>
      <c r="S14" s="8">
        <f t="shared" si="3"/>
        <v>50000</v>
      </c>
      <c r="T14" s="8">
        <f t="shared" si="4"/>
        <v>50000</v>
      </c>
      <c r="Y14"/>
    </row>
    <row r="15" spans="1:25" s="100" customFormat="1" ht="12.75" customHeight="1" x14ac:dyDescent="0.25">
      <c r="A15" s="7"/>
      <c r="C15" s="108" t="s">
        <v>68</v>
      </c>
      <c r="D15" s="109" t="s">
        <v>5</v>
      </c>
      <c r="E15" s="110" t="s">
        <v>1</v>
      </c>
      <c r="F15" s="3"/>
      <c r="G15" s="121">
        <v>5000</v>
      </c>
      <c r="H15" s="12" t="s">
        <v>43</v>
      </c>
      <c r="I15" s="3"/>
      <c r="J15" s="125">
        <f>(Assumptions!$B30)/Assumptions!$C30</f>
        <v>10</v>
      </c>
      <c r="K15" s="125">
        <f>(Assumptions!$B30)/Assumptions!$C30</f>
        <v>10</v>
      </c>
      <c r="L15" s="125">
        <f>(Assumptions!$B30)/Assumptions!$C30</f>
        <v>10</v>
      </c>
      <c r="M15" s="125">
        <f>(Assumptions!$B30)/Assumptions!$C30</f>
        <v>10</v>
      </c>
      <c r="N15" s="125">
        <f>(Assumptions!$B30)/Assumptions!$C30</f>
        <v>10</v>
      </c>
      <c r="O15" s="3"/>
      <c r="P15" s="8">
        <f t="shared" ref="P15" si="5">J15*$G15</f>
        <v>50000</v>
      </c>
      <c r="Q15" s="8">
        <f t="shared" ref="Q15" si="6">K15*$G15</f>
        <v>50000</v>
      </c>
      <c r="R15" s="8">
        <f t="shared" ref="R15" si="7">L15*$G15</f>
        <v>50000</v>
      </c>
      <c r="S15" s="8">
        <f t="shared" ref="S15" si="8">M15*$G15</f>
        <v>50000</v>
      </c>
      <c r="T15" s="8">
        <f t="shared" ref="T15" si="9">N15*$G15</f>
        <v>50000</v>
      </c>
      <c r="Y15"/>
    </row>
    <row r="16" spans="1:25" s="100" customFormat="1" ht="12.75" customHeight="1" x14ac:dyDescent="0.25">
      <c r="A16" s="7"/>
      <c r="C16" s="108" t="s">
        <v>69</v>
      </c>
      <c r="D16" s="109" t="s">
        <v>5</v>
      </c>
      <c r="E16" s="110" t="s">
        <v>1</v>
      </c>
      <c r="F16" s="3"/>
      <c r="G16" s="121">
        <v>20000</v>
      </c>
      <c r="H16" s="12" t="s">
        <v>43</v>
      </c>
      <c r="I16" s="3"/>
      <c r="J16" s="125">
        <f>(Assumptions!$B31)/Assumptions!$C31</f>
        <v>6.666666666666667</v>
      </c>
      <c r="K16" s="125">
        <f>(Assumptions!$B31)/Assumptions!$C31</f>
        <v>6.666666666666667</v>
      </c>
      <c r="L16" s="125">
        <f>(Assumptions!$B31)/Assumptions!$C31</f>
        <v>6.666666666666667</v>
      </c>
      <c r="M16" s="125">
        <f>(Assumptions!$B31)/Assumptions!$C31</f>
        <v>6.666666666666667</v>
      </c>
      <c r="N16" s="125">
        <f>(Assumptions!$B31)/Assumptions!$C31</f>
        <v>6.666666666666667</v>
      </c>
      <c r="O16" s="3"/>
      <c r="P16" s="8">
        <f t="shared" ref="P16" si="10">J16*$G16</f>
        <v>133333.33333333334</v>
      </c>
      <c r="Q16" s="8">
        <f t="shared" ref="Q16" si="11">K16*$G16</f>
        <v>133333.33333333334</v>
      </c>
      <c r="R16" s="8">
        <f t="shared" ref="R16" si="12">L16*$G16</f>
        <v>133333.33333333334</v>
      </c>
      <c r="S16" s="8">
        <f t="shared" ref="S16" si="13">M16*$G16</f>
        <v>133333.33333333334</v>
      </c>
      <c r="T16" s="8">
        <f t="shared" ref="T16" si="14">N16*$G16</f>
        <v>133333.33333333334</v>
      </c>
      <c r="Y16"/>
    </row>
    <row r="17" spans="1:25" ht="12.75" customHeight="1" x14ac:dyDescent="0.25">
      <c r="A17" s="7"/>
      <c r="C17" s="100"/>
      <c r="D17" s="100"/>
      <c r="E17" s="100"/>
      <c r="F17" s="3"/>
      <c r="G17" s="100"/>
      <c r="I17" s="3"/>
      <c r="J17" s="100"/>
      <c r="K17" s="100"/>
      <c r="L17" s="100"/>
      <c r="M17" s="100"/>
      <c r="N17" s="100"/>
      <c r="O17" s="3"/>
      <c r="Y17"/>
    </row>
    <row r="18" spans="1:25" ht="12.75" customHeight="1" x14ac:dyDescent="0.25">
      <c r="A18" s="7"/>
      <c r="C18" s="100"/>
      <c r="D18" s="100"/>
      <c r="E18" s="100"/>
      <c r="F18" s="3"/>
      <c r="G18" s="100"/>
      <c r="I18" s="3"/>
      <c r="J18" s="100"/>
      <c r="K18" s="100"/>
      <c r="L18" s="100"/>
      <c r="M18" s="100"/>
      <c r="N18" s="100"/>
      <c r="O18" s="3"/>
      <c r="Y18"/>
    </row>
    <row r="19" spans="1:25" ht="12.75" customHeight="1" x14ac:dyDescent="0.25">
      <c r="A19" s="7"/>
      <c r="C19" s="108" t="s">
        <v>63</v>
      </c>
      <c r="D19" s="109" t="s">
        <v>5</v>
      </c>
      <c r="E19" s="110" t="s">
        <v>2</v>
      </c>
      <c r="F19" s="3"/>
      <c r="G19" s="111">
        <v>122.2</v>
      </c>
      <c r="H19" s="12" t="s">
        <v>42</v>
      </c>
      <c r="I19" s="3"/>
      <c r="J19" s="125">
        <f>J10*Assumptions!$D25</f>
        <v>1250</v>
      </c>
      <c r="K19" s="125">
        <f>K10*Assumptions!$D25</f>
        <v>1250</v>
      </c>
      <c r="L19" s="125">
        <f>L10*Assumptions!$D25</f>
        <v>1250</v>
      </c>
      <c r="M19" s="125">
        <f>M10*Assumptions!$D25</f>
        <v>1250</v>
      </c>
      <c r="N19" s="125">
        <f>N10*Assumptions!$D25</f>
        <v>1250</v>
      </c>
      <c r="O19" s="3"/>
      <c r="P19" s="8">
        <f t="shared" ref="P19" si="15">J19*$G19</f>
        <v>152750</v>
      </c>
      <c r="Q19" s="8">
        <f t="shared" ref="Q19" si="16">K19*$G19</f>
        <v>152750</v>
      </c>
      <c r="R19" s="8">
        <f t="shared" ref="R19" si="17">L19*$G19</f>
        <v>152750</v>
      </c>
      <c r="S19" s="8">
        <f t="shared" ref="S19" si="18">M19*$G19</f>
        <v>152750</v>
      </c>
      <c r="T19" s="8">
        <f t="shared" ref="T19" si="19">N19*$G19</f>
        <v>152750</v>
      </c>
      <c r="Y19"/>
    </row>
    <row r="20" spans="1:25" s="100" customFormat="1" ht="12.75" customHeight="1" x14ac:dyDescent="0.25">
      <c r="A20" s="7"/>
      <c r="C20" s="108" t="s">
        <v>64</v>
      </c>
      <c r="D20" s="109" t="s">
        <v>5</v>
      </c>
      <c r="E20" s="110" t="s">
        <v>2</v>
      </c>
      <c r="F20" s="3"/>
      <c r="G20" s="111">
        <v>122.2</v>
      </c>
      <c r="H20" s="12" t="s">
        <v>42</v>
      </c>
      <c r="I20" s="3"/>
      <c r="J20" s="125">
        <f>J11*Assumptions!$D26</f>
        <v>0</v>
      </c>
      <c r="K20" s="125">
        <f>K11*Assumptions!$D26</f>
        <v>0</v>
      </c>
      <c r="L20" s="125">
        <f>L11*Assumptions!$D26</f>
        <v>0</v>
      </c>
      <c r="M20" s="125">
        <f>M11*Assumptions!$D26</f>
        <v>0</v>
      </c>
      <c r="N20" s="125">
        <f>N11*Assumptions!$D26</f>
        <v>0</v>
      </c>
      <c r="O20" s="3"/>
      <c r="P20" s="8">
        <f t="shared" ref="P20:P24" si="20">J20*$G20</f>
        <v>0</v>
      </c>
      <c r="Q20" s="8">
        <f t="shared" ref="Q20:Q24" si="21">K20*$G20</f>
        <v>0</v>
      </c>
      <c r="R20" s="8">
        <f t="shared" ref="R20:R24" si="22">L20*$G20</f>
        <v>0</v>
      </c>
      <c r="S20" s="8">
        <f t="shared" ref="S20:S24" si="23">M20*$G20</f>
        <v>0</v>
      </c>
      <c r="T20" s="8">
        <f t="shared" ref="T20:T24" si="24">N20*$G20</f>
        <v>0</v>
      </c>
      <c r="Y20"/>
    </row>
    <row r="21" spans="1:25" s="100" customFormat="1" ht="12.75" customHeight="1" x14ac:dyDescent="0.25">
      <c r="A21" s="7"/>
      <c r="C21" s="108" t="s">
        <v>65</v>
      </c>
      <c r="D21" s="109" t="s">
        <v>5</v>
      </c>
      <c r="E21" s="110" t="s">
        <v>2</v>
      </c>
      <c r="F21" s="3"/>
      <c r="G21" s="111">
        <v>122.2</v>
      </c>
      <c r="H21" s="12" t="s">
        <v>42</v>
      </c>
      <c r="I21" s="3"/>
      <c r="J21" s="125">
        <f>J12*Assumptions!$D27</f>
        <v>152.5</v>
      </c>
      <c r="K21" s="125">
        <f>K12*Assumptions!$D27</f>
        <v>152.5</v>
      </c>
      <c r="L21" s="125">
        <f>L12*Assumptions!$D27</f>
        <v>152.5</v>
      </c>
      <c r="M21" s="125">
        <f>M12*Assumptions!$D27</f>
        <v>152.5</v>
      </c>
      <c r="N21" s="125">
        <f>N12*Assumptions!$D27</f>
        <v>152.5</v>
      </c>
      <c r="O21" s="3"/>
      <c r="P21" s="8">
        <f t="shared" si="20"/>
        <v>18635.5</v>
      </c>
      <c r="Q21" s="8">
        <f t="shared" si="21"/>
        <v>18635.5</v>
      </c>
      <c r="R21" s="8">
        <f t="shared" si="22"/>
        <v>18635.5</v>
      </c>
      <c r="S21" s="8">
        <f t="shared" si="23"/>
        <v>18635.5</v>
      </c>
      <c r="T21" s="8">
        <f t="shared" si="24"/>
        <v>18635.5</v>
      </c>
      <c r="Y21"/>
    </row>
    <row r="22" spans="1:25" s="100" customFormat="1" ht="12.75" customHeight="1" x14ac:dyDescent="0.25">
      <c r="A22" s="7"/>
      <c r="C22" s="108" t="s">
        <v>66</v>
      </c>
      <c r="D22" s="109" t="s">
        <v>5</v>
      </c>
      <c r="E22" s="110" t="s">
        <v>2</v>
      </c>
      <c r="F22" s="3"/>
      <c r="G22" s="111">
        <v>122.2</v>
      </c>
      <c r="H22" s="12" t="s">
        <v>42</v>
      </c>
      <c r="I22" s="3"/>
      <c r="J22" s="125">
        <f>J13*Assumptions!$D28</f>
        <v>183.125</v>
      </c>
      <c r="K22" s="125">
        <f>K13*Assumptions!$D28</f>
        <v>183.125</v>
      </c>
      <c r="L22" s="125">
        <f>L13*Assumptions!$D28</f>
        <v>183.125</v>
      </c>
      <c r="M22" s="125">
        <f>M13*Assumptions!$D28</f>
        <v>183.125</v>
      </c>
      <c r="N22" s="125">
        <f>N13*Assumptions!$D28</f>
        <v>183.125</v>
      </c>
      <c r="O22" s="3"/>
      <c r="P22" s="8">
        <f t="shared" si="20"/>
        <v>22377.875</v>
      </c>
      <c r="Q22" s="8">
        <f t="shared" si="21"/>
        <v>22377.875</v>
      </c>
      <c r="R22" s="8">
        <f t="shared" si="22"/>
        <v>22377.875</v>
      </c>
      <c r="S22" s="8">
        <f t="shared" si="23"/>
        <v>22377.875</v>
      </c>
      <c r="T22" s="8">
        <f t="shared" si="24"/>
        <v>22377.875</v>
      </c>
      <c r="Y22"/>
    </row>
    <row r="23" spans="1:25" s="100" customFormat="1" ht="12.75" customHeight="1" x14ac:dyDescent="0.25">
      <c r="A23" s="7"/>
      <c r="C23" s="108" t="s">
        <v>67</v>
      </c>
      <c r="D23" s="109" t="s">
        <v>5</v>
      </c>
      <c r="E23" s="110" t="s">
        <v>2</v>
      </c>
      <c r="F23" s="3"/>
      <c r="G23" s="111">
        <v>122.2</v>
      </c>
      <c r="H23" s="12" t="s">
        <v>42</v>
      </c>
      <c r="I23" s="3"/>
      <c r="J23" s="125">
        <f>J14*Assumptions!$D29</f>
        <v>50</v>
      </c>
      <c r="K23" s="125">
        <f>K14*Assumptions!$D29</f>
        <v>50</v>
      </c>
      <c r="L23" s="125">
        <f>L14*Assumptions!$D29</f>
        <v>50</v>
      </c>
      <c r="M23" s="125">
        <f>M14*Assumptions!$D29</f>
        <v>50</v>
      </c>
      <c r="N23" s="125">
        <f>N14*Assumptions!$D29</f>
        <v>50</v>
      </c>
      <c r="O23" s="3"/>
      <c r="P23" s="8">
        <f t="shared" si="20"/>
        <v>6110</v>
      </c>
      <c r="Q23" s="8">
        <f t="shared" si="21"/>
        <v>6110</v>
      </c>
      <c r="R23" s="8">
        <f t="shared" si="22"/>
        <v>6110</v>
      </c>
      <c r="S23" s="8">
        <f t="shared" si="23"/>
        <v>6110</v>
      </c>
      <c r="T23" s="8">
        <f t="shared" si="24"/>
        <v>6110</v>
      </c>
      <c r="Y23"/>
    </row>
    <row r="24" spans="1:25" s="100" customFormat="1" ht="12.75" customHeight="1" x14ac:dyDescent="0.25">
      <c r="A24" s="7"/>
      <c r="C24" s="108" t="s">
        <v>68</v>
      </c>
      <c r="D24" s="109" t="s">
        <v>5</v>
      </c>
      <c r="E24" s="110" t="s">
        <v>2</v>
      </c>
      <c r="F24" s="3"/>
      <c r="G24" s="111">
        <v>122.2</v>
      </c>
      <c r="H24" s="12" t="s">
        <v>42</v>
      </c>
      <c r="I24" s="3"/>
      <c r="J24" s="125">
        <f>J15*Assumptions!$D30</f>
        <v>40</v>
      </c>
      <c r="K24" s="125">
        <f>K15*Assumptions!$D30</f>
        <v>40</v>
      </c>
      <c r="L24" s="125">
        <f>L15*Assumptions!$D30</f>
        <v>40</v>
      </c>
      <c r="M24" s="125">
        <f>M15*Assumptions!$D30</f>
        <v>40</v>
      </c>
      <c r="N24" s="125">
        <f>N15*Assumptions!$D30</f>
        <v>40</v>
      </c>
      <c r="O24" s="3"/>
      <c r="P24" s="8">
        <f t="shared" si="20"/>
        <v>4888</v>
      </c>
      <c r="Q24" s="8">
        <f t="shared" si="21"/>
        <v>4888</v>
      </c>
      <c r="R24" s="8">
        <f t="shared" si="22"/>
        <v>4888</v>
      </c>
      <c r="S24" s="8">
        <f t="shared" si="23"/>
        <v>4888</v>
      </c>
      <c r="T24" s="8">
        <f t="shared" si="24"/>
        <v>4888</v>
      </c>
      <c r="Y24"/>
    </row>
    <row r="25" spans="1:25" s="100" customFormat="1" ht="12.75" customHeight="1" x14ac:dyDescent="0.25">
      <c r="A25" s="7"/>
      <c r="C25" s="108" t="s">
        <v>69</v>
      </c>
      <c r="D25" s="109" t="s">
        <v>5</v>
      </c>
      <c r="E25" s="110" t="s">
        <v>2</v>
      </c>
      <c r="F25" s="3"/>
      <c r="G25" s="111">
        <v>122.2</v>
      </c>
      <c r="H25" s="12" t="s">
        <v>42</v>
      </c>
      <c r="I25" s="3"/>
      <c r="J25" s="125">
        <f>J16*Assumptions!$D31</f>
        <v>26.666666666666668</v>
      </c>
      <c r="K25" s="125">
        <f>K16*Assumptions!$D31</f>
        <v>26.666666666666668</v>
      </c>
      <c r="L25" s="125">
        <f>L16*Assumptions!$D31</f>
        <v>26.666666666666668</v>
      </c>
      <c r="M25" s="125">
        <f>M16*Assumptions!$D31</f>
        <v>26.666666666666668</v>
      </c>
      <c r="N25" s="125">
        <f>N16*Assumptions!$D31</f>
        <v>26.666666666666668</v>
      </c>
      <c r="O25" s="3"/>
      <c r="P25" s="8">
        <f t="shared" ref="P25" si="25">J25*$G25</f>
        <v>3258.666666666667</v>
      </c>
      <c r="Q25" s="8">
        <f t="shared" ref="Q25" si="26">K25*$G25</f>
        <v>3258.666666666667</v>
      </c>
      <c r="R25" s="8">
        <f t="shared" ref="R25" si="27">L25*$G25</f>
        <v>3258.666666666667</v>
      </c>
      <c r="S25" s="8">
        <f t="shared" ref="S25" si="28">M25*$G25</f>
        <v>3258.666666666667</v>
      </c>
      <c r="T25" s="8">
        <f t="shared" ref="T25" si="29">N25*$G25</f>
        <v>3258.666666666667</v>
      </c>
      <c r="Y25"/>
    </row>
    <row r="26" spans="1:25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Y26"/>
    </row>
    <row r="27" spans="1:25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Y27"/>
    </row>
    <row r="28" spans="1:25" ht="12.75" customHeight="1" x14ac:dyDescent="0.2">
      <c r="A28" s="7"/>
      <c r="C28" s="108"/>
      <c r="D28" s="109"/>
      <c r="E28" s="110"/>
      <c r="F28" s="100"/>
      <c r="G28" s="6"/>
      <c r="H28" s="13" t="s">
        <v>44</v>
      </c>
      <c r="I28" s="100"/>
      <c r="J28" s="111"/>
      <c r="K28" s="121"/>
      <c r="L28" s="121"/>
      <c r="M28" s="121"/>
      <c r="N28" s="121"/>
      <c r="P28" s="8">
        <f t="shared" ref="P28" si="30">J28</f>
        <v>0</v>
      </c>
      <c r="Q28" s="8">
        <f t="shared" ref="Q28" si="31">K28</f>
        <v>0</v>
      </c>
      <c r="R28" s="8">
        <f t="shared" ref="R28" si="32">L28</f>
        <v>0</v>
      </c>
      <c r="S28" s="8">
        <f t="shared" ref="S28" si="33">M28</f>
        <v>0</v>
      </c>
      <c r="T28" s="8">
        <f t="shared" ref="T28" si="34">N28</f>
        <v>0</v>
      </c>
    </row>
    <row r="29" spans="1:25" s="100" customFormat="1" ht="12.75" customHeight="1" x14ac:dyDescent="0.2">
      <c r="A29" s="7"/>
      <c r="C29" s="108"/>
      <c r="D29" s="109"/>
      <c r="E29" s="110"/>
      <c r="G29" s="6"/>
      <c r="H29" s="13" t="s">
        <v>44</v>
      </c>
      <c r="J29" s="121"/>
      <c r="K29" s="121"/>
      <c r="L29" s="121"/>
      <c r="M29" s="121"/>
      <c r="N29" s="121"/>
      <c r="P29" s="8">
        <f t="shared" ref="P29:P31" si="35">J29</f>
        <v>0</v>
      </c>
      <c r="Q29" s="8">
        <f t="shared" ref="Q29:Q31" si="36">K29</f>
        <v>0</v>
      </c>
      <c r="R29" s="8">
        <f t="shared" ref="R29:R31" si="37">L29</f>
        <v>0</v>
      </c>
      <c r="S29" s="8">
        <f t="shared" ref="S29:S31" si="38">M29</f>
        <v>0</v>
      </c>
      <c r="T29" s="8">
        <f t="shared" ref="T29:T31" si="39">N29</f>
        <v>0</v>
      </c>
    </row>
    <row r="30" spans="1:25" s="100" customFormat="1" ht="12.75" customHeight="1" x14ac:dyDescent="0.2">
      <c r="A30" s="7"/>
      <c r="C30" s="108"/>
      <c r="D30" s="109"/>
      <c r="E30" s="110"/>
      <c r="G30" s="6"/>
      <c r="H30" s="13" t="s">
        <v>44</v>
      </c>
      <c r="J30" s="121"/>
      <c r="K30" s="121"/>
      <c r="L30" s="121"/>
      <c r="M30" s="121"/>
      <c r="N30" s="121"/>
      <c r="P30" s="8">
        <f t="shared" si="35"/>
        <v>0</v>
      </c>
      <c r="Q30" s="8">
        <f t="shared" si="36"/>
        <v>0</v>
      </c>
      <c r="R30" s="8">
        <f t="shared" si="37"/>
        <v>0</v>
      </c>
      <c r="S30" s="8">
        <f t="shared" si="38"/>
        <v>0</v>
      </c>
      <c r="T30" s="8">
        <f t="shared" si="39"/>
        <v>0</v>
      </c>
    </row>
    <row r="31" spans="1:25" s="100" customFormat="1" ht="12.75" customHeight="1" x14ac:dyDescent="0.2">
      <c r="A31" s="7"/>
      <c r="C31" s="108"/>
      <c r="D31" s="109"/>
      <c r="E31" s="110"/>
      <c r="G31" s="6"/>
      <c r="H31" s="13" t="s">
        <v>44</v>
      </c>
      <c r="J31" s="121"/>
      <c r="K31" s="121"/>
      <c r="L31" s="121"/>
      <c r="M31" s="121"/>
      <c r="N31" s="121"/>
      <c r="P31" s="8">
        <f t="shared" si="35"/>
        <v>0</v>
      </c>
      <c r="Q31" s="8">
        <f t="shared" si="36"/>
        <v>0</v>
      </c>
      <c r="R31" s="8">
        <f t="shared" si="37"/>
        <v>0</v>
      </c>
      <c r="S31" s="8">
        <f t="shared" si="38"/>
        <v>0</v>
      </c>
      <c r="T31" s="8">
        <f t="shared" si="39"/>
        <v>0</v>
      </c>
    </row>
    <row r="32" spans="1:25" ht="12.75" customHeight="1" x14ac:dyDescent="0.25">
      <c r="F32" s="3"/>
      <c r="I32" s="3"/>
      <c r="O32" s="3"/>
      <c r="Y32"/>
    </row>
    <row r="33" spans="3:25" ht="12.75" customHeight="1" x14ac:dyDescent="0.25">
      <c r="F33" s="3"/>
      <c r="I33" s="3"/>
      <c r="O33" s="3"/>
      <c r="Y33"/>
    </row>
    <row r="34" spans="3:25" ht="12.75" customHeight="1" x14ac:dyDescent="0.25">
      <c r="C34" s="5" t="s">
        <v>13</v>
      </c>
      <c r="F34" s="3"/>
      <c r="I34" s="3"/>
      <c r="O34" s="3"/>
      <c r="Y34"/>
    </row>
    <row r="35" spans="3:25" ht="12.75" customHeight="1" x14ac:dyDescent="0.2">
      <c r="C35" s="28" t="s">
        <v>2</v>
      </c>
      <c r="D35" s="28" t="s">
        <v>5</v>
      </c>
      <c r="E35" s="28"/>
      <c r="F35" s="3"/>
      <c r="G35" s="28"/>
      <c r="H35" s="29"/>
      <c r="I35" s="3"/>
      <c r="J35" s="28"/>
      <c r="K35" s="28"/>
      <c r="L35" s="28"/>
      <c r="M35" s="28"/>
      <c r="N35" s="28"/>
      <c r="O35" s="3"/>
      <c r="P35" s="30">
        <f t="shared" ref="P35:T40" si="40">SUMIFS(P$10:P$31,$E$10:$E$31,$C35,$D$10:$D$31,$D35)</f>
        <v>208020.04166666666</v>
      </c>
      <c r="Q35" s="30">
        <f t="shared" si="40"/>
        <v>208020.04166666666</v>
      </c>
      <c r="R35" s="30">
        <f t="shared" si="40"/>
        <v>208020.04166666666</v>
      </c>
      <c r="S35" s="30">
        <f t="shared" si="40"/>
        <v>208020.04166666666</v>
      </c>
      <c r="T35" s="30">
        <f t="shared" si="40"/>
        <v>208020.04166666666</v>
      </c>
    </row>
    <row r="36" spans="3:25" ht="12.75" customHeight="1" x14ac:dyDescent="0.2">
      <c r="C36" s="4" t="s">
        <v>1</v>
      </c>
      <c r="D36" s="4" t="s">
        <v>5</v>
      </c>
      <c r="E36" s="4"/>
      <c r="F36" s="3"/>
      <c r="G36" s="4"/>
      <c r="H36" s="13"/>
      <c r="I36" s="3"/>
      <c r="J36" s="4"/>
      <c r="K36" s="4"/>
      <c r="L36" s="4"/>
      <c r="M36" s="4"/>
      <c r="N36" s="4"/>
      <c r="O36" s="3"/>
      <c r="P36" s="9">
        <f t="shared" si="40"/>
        <v>3455598.3333333335</v>
      </c>
      <c r="Q36" s="9">
        <f t="shared" si="40"/>
        <v>3455598.3333333335</v>
      </c>
      <c r="R36" s="9">
        <f t="shared" si="40"/>
        <v>3455598.3333333335</v>
      </c>
      <c r="S36" s="9">
        <f t="shared" si="40"/>
        <v>3455598.3333333335</v>
      </c>
      <c r="T36" s="9">
        <f t="shared" si="40"/>
        <v>3455598.3333333335</v>
      </c>
    </row>
    <row r="37" spans="3:25" ht="12.75" customHeight="1" x14ac:dyDescent="0.2">
      <c r="C37" s="4" t="s">
        <v>4</v>
      </c>
      <c r="D37" s="4" t="s">
        <v>5</v>
      </c>
      <c r="E37" s="4"/>
      <c r="F37" s="3"/>
      <c r="G37" s="4"/>
      <c r="H37" s="13"/>
      <c r="I37" s="3"/>
      <c r="J37" s="4"/>
      <c r="K37" s="4"/>
      <c r="L37" s="4"/>
      <c r="M37" s="4"/>
      <c r="N37" s="4"/>
      <c r="O37" s="3"/>
      <c r="P37" s="9">
        <f t="shared" si="40"/>
        <v>0</v>
      </c>
      <c r="Q37" s="9">
        <f t="shared" si="40"/>
        <v>0</v>
      </c>
      <c r="R37" s="9">
        <f t="shared" si="40"/>
        <v>0</v>
      </c>
      <c r="S37" s="9">
        <f t="shared" si="40"/>
        <v>0</v>
      </c>
      <c r="T37" s="9">
        <f t="shared" si="40"/>
        <v>0</v>
      </c>
    </row>
    <row r="38" spans="3:25" ht="12.75" customHeight="1" x14ac:dyDescent="0.2">
      <c r="C38" s="4" t="s">
        <v>2</v>
      </c>
      <c r="D38" s="4" t="s">
        <v>41</v>
      </c>
      <c r="E38" s="4"/>
      <c r="F38" s="3"/>
      <c r="G38" s="4"/>
      <c r="H38" s="13"/>
      <c r="I38" s="3"/>
      <c r="J38" s="4"/>
      <c r="K38" s="4"/>
      <c r="L38" s="4"/>
      <c r="M38" s="4"/>
      <c r="N38" s="4"/>
      <c r="O38" s="3"/>
      <c r="P38" s="9">
        <f t="shared" si="40"/>
        <v>0</v>
      </c>
      <c r="Q38" s="9">
        <f t="shared" si="40"/>
        <v>0</v>
      </c>
      <c r="R38" s="9">
        <f t="shared" si="40"/>
        <v>0</v>
      </c>
      <c r="S38" s="9">
        <f t="shared" si="40"/>
        <v>0</v>
      </c>
      <c r="T38" s="9">
        <f t="shared" si="40"/>
        <v>0</v>
      </c>
    </row>
    <row r="39" spans="3:25" ht="12.75" customHeight="1" x14ac:dyDescent="0.2">
      <c r="C39" s="4" t="s">
        <v>1</v>
      </c>
      <c r="D39" s="4" t="s">
        <v>41</v>
      </c>
      <c r="E39" s="4"/>
      <c r="F39" s="3"/>
      <c r="G39" s="4"/>
      <c r="H39" s="13"/>
      <c r="I39" s="3"/>
      <c r="J39" s="4"/>
      <c r="K39" s="4"/>
      <c r="L39" s="4"/>
      <c r="M39" s="4"/>
      <c r="N39" s="4"/>
      <c r="O39" s="3"/>
      <c r="P39" s="9">
        <f t="shared" si="40"/>
        <v>0</v>
      </c>
      <c r="Q39" s="9">
        <f t="shared" si="40"/>
        <v>0</v>
      </c>
      <c r="R39" s="9">
        <f t="shared" si="40"/>
        <v>0</v>
      </c>
      <c r="S39" s="9">
        <f t="shared" si="40"/>
        <v>0</v>
      </c>
      <c r="T39" s="9">
        <f t="shared" si="40"/>
        <v>0</v>
      </c>
    </row>
    <row r="40" spans="3:25" ht="12.75" customHeight="1" x14ac:dyDescent="0.2">
      <c r="C40" s="4" t="s">
        <v>4</v>
      </c>
      <c r="D40" s="4" t="s">
        <v>41</v>
      </c>
      <c r="E40" s="7"/>
      <c r="F40" s="3"/>
      <c r="G40" s="7"/>
      <c r="H40" s="31"/>
      <c r="I40" s="3"/>
      <c r="J40" s="7"/>
      <c r="K40" s="7"/>
      <c r="L40" s="7"/>
      <c r="M40" s="7"/>
      <c r="N40" s="7"/>
      <c r="O40" s="3"/>
      <c r="P40" s="9">
        <f t="shared" si="40"/>
        <v>0</v>
      </c>
      <c r="Q40" s="9">
        <f t="shared" si="40"/>
        <v>0</v>
      </c>
      <c r="R40" s="9">
        <f t="shared" si="40"/>
        <v>0</v>
      </c>
      <c r="S40" s="9">
        <f t="shared" si="40"/>
        <v>0</v>
      </c>
      <c r="T40" s="9">
        <f t="shared" si="40"/>
        <v>0</v>
      </c>
    </row>
    <row r="41" spans="3:25" ht="12.75" customHeight="1" x14ac:dyDescent="0.2">
      <c r="C41" s="10" t="str">
        <f>"Total Expenditure ($ "&amp;Assumptions!$B$8&amp;")"</f>
        <v>Total Expenditure ($ 2018)</v>
      </c>
      <c r="D41" s="10"/>
      <c r="E41" s="10"/>
      <c r="F41" s="3"/>
      <c r="G41" s="10"/>
      <c r="H41" s="14"/>
      <c r="I41" s="3"/>
      <c r="J41" s="10"/>
      <c r="K41" s="10"/>
      <c r="L41" s="10"/>
      <c r="M41" s="10"/>
      <c r="N41" s="10"/>
      <c r="O41" s="3"/>
      <c r="P41" s="11">
        <f>SUM(P35:P40)</f>
        <v>3663618.375</v>
      </c>
      <c r="Q41" s="11">
        <f t="shared" ref="Q41:T41" si="41">SUM(Q35:Q40)</f>
        <v>3663618.375</v>
      </c>
      <c r="R41" s="11">
        <f t="shared" si="41"/>
        <v>3663618.375</v>
      </c>
      <c r="S41" s="11">
        <f t="shared" si="41"/>
        <v>3663618.375</v>
      </c>
      <c r="T41" s="11">
        <f t="shared" si="41"/>
        <v>3663618.375</v>
      </c>
      <c r="U41" s="44"/>
    </row>
    <row r="42" spans="3:25" ht="12.75" customHeight="1" x14ac:dyDescent="0.2">
      <c r="C42" s="28" t="str">
        <f>"Total Expenditure ($ "&amp;Assumptions!B17&amp;")"</f>
        <v>Total Expenditure ($ 2020/21)</v>
      </c>
      <c r="D42" s="28"/>
      <c r="E42" s="28"/>
      <c r="F42" s="3"/>
      <c r="G42" s="28"/>
      <c r="H42" s="29"/>
      <c r="I42" s="3"/>
      <c r="J42" s="28"/>
      <c r="K42" s="28"/>
      <c r="L42" s="28"/>
      <c r="M42" s="28"/>
      <c r="N42" s="28"/>
      <c r="O42" s="3"/>
      <c r="P42" s="45">
        <f>P41*Assumptions!$B$18</f>
        <v>3879930.1679362333</v>
      </c>
      <c r="Q42" s="45">
        <f>Q41*Assumptions!$B$18</f>
        <v>3879930.1679362333</v>
      </c>
      <c r="R42" s="45">
        <f>R41*Assumptions!$B$18</f>
        <v>3879930.1679362333</v>
      </c>
      <c r="S42" s="45">
        <f>S41*Assumptions!$B$18</f>
        <v>3879930.1679362333</v>
      </c>
      <c r="T42" s="45">
        <f>T41*Assumptions!$B$18</f>
        <v>3879930.1679362333</v>
      </c>
      <c r="U42" s="44"/>
    </row>
    <row r="43" spans="3:25" ht="12.75" customHeight="1" x14ac:dyDescent="0.2">
      <c r="C43" s="101" t="s">
        <v>12</v>
      </c>
      <c r="D43" s="101"/>
      <c r="E43" s="101"/>
      <c r="F43" s="3"/>
      <c r="G43" s="101"/>
      <c r="H43" s="101"/>
      <c r="I43" s="3"/>
      <c r="J43" s="101"/>
      <c r="K43" s="101"/>
      <c r="L43" s="101"/>
      <c r="M43" s="101"/>
      <c r="N43" s="101"/>
      <c r="O43" s="3"/>
      <c r="P43" s="102">
        <f>P41-SUM(P10:P31)</f>
        <v>0</v>
      </c>
      <c r="Q43" s="102">
        <f>Q41-SUM(Q10:Q31)</f>
        <v>0</v>
      </c>
      <c r="R43" s="102">
        <f>R41-SUM(R10:R31)</f>
        <v>0</v>
      </c>
      <c r="S43" s="102">
        <f>S41-SUM(S10:S31)</f>
        <v>0</v>
      </c>
      <c r="T43" s="102">
        <f>T41-SUM(T10:T31)</f>
        <v>0</v>
      </c>
      <c r="V43" s="102">
        <f>SUM(P43:T43)</f>
        <v>0</v>
      </c>
    </row>
    <row r="44" spans="3:25" ht="12.75" customHeight="1" x14ac:dyDescent="0.2">
      <c r="F44" s="3"/>
      <c r="I44" s="3"/>
      <c r="O44" s="3"/>
    </row>
    <row r="45" spans="3:25" ht="12.75" customHeight="1" x14ac:dyDescent="0.2">
      <c r="C45" s="128" t="str">
        <f>"NPV ($ "&amp;Assumptions!$B$17&amp;")"</f>
        <v>NPV ($ 2020/21)</v>
      </c>
      <c r="D45" s="129">
        <f>NPV(Assumptions!$B$6,$P$42:$T$42)</f>
        <v>17896495.526923485</v>
      </c>
      <c r="F45" s="3"/>
      <c r="I45" s="3"/>
      <c r="O45" s="3"/>
    </row>
    <row r="46" spans="3:25" ht="12.75" customHeight="1" x14ac:dyDescent="0.2">
      <c r="O46" s="3"/>
    </row>
    <row r="47" spans="3:25" ht="12.75" customHeight="1" x14ac:dyDescent="0.2">
      <c r="O47" s="3"/>
    </row>
    <row r="48" spans="3:25" ht="12.75" customHeight="1" x14ac:dyDescent="0.2"/>
    <row r="49" ht="12.75" customHeight="1" x14ac:dyDescent="0.2"/>
    <row r="50" ht="12.75" customHeight="1" x14ac:dyDescent="0.2"/>
  </sheetData>
  <sortState ref="B49:B51">
    <sortCondition ref="B49:B51"/>
  </sortState>
  <conditionalFormatting sqref="P43:T43">
    <cfRule type="expression" dxfId="3" priority="6">
      <formula>ABS(P43)&gt;0.001</formula>
    </cfRule>
  </conditionalFormatting>
  <conditionalFormatting sqref="V43">
    <cfRule type="expression" dxfId="2" priority="1">
      <formula>ABS(V43)&gt;0.001</formula>
    </cfRule>
  </conditionalFormatting>
  <dataValidations count="2">
    <dataValidation type="list" allowBlank="1" showInputMessage="1" showErrorMessage="1" sqref="D19:D25 D28:D31 D10:D16">
      <formula1>"CapEx, OpEx"</formula1>
    </dataValidation>
    <dataValidation type="list" allowBlank="1" showInputMessage="1" showErrorMessage="1" sqref="E19:E25 E28:E31 E10:E16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5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66.85546875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Device replacement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7" t="b">
        <f>SUM(V7:V44)=0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19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0" t="s">
        <v>16</v>
      </c>
      <c r="K8" s="120" t="s">
        <v>17</v>
      </c>
      <c r="L8" s="120" t="s">
        <v>18</v>
      </c>
      <c r="M8" s="120" t="s">
        <v>19</v>
      </c>
      <c r="N8" s="120" t="s">
        <v>20</v>
      </c>
      <c r="O8" s="4"/>
      <c r="P8" s="120" t="s">
        <v>16</v>
      </c>
      <c r="Q8" s="120" t="s">
        <v>17</v>
      </c>
      <c r="R8" s="120" t="s">
        <v>18</v>
      </c>
      <c r="S8" s="120" t="s">
        <v>19</v>
      </c>
      <c r="T8" s="120" t="s">
        <v>20</v>
      </c>
    </row>
    <row r="9" spans="1:25" ht="12.75" customHeight="1" x14ac:dyDescent="0.2">
      <c r="A9" s="100"/>
      <c r="B9" s="100"/>
      <c r="C9" s="100"/>
      <c r="D9" s="100"/>
      <c r="E9" s="100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 t="str">
        <f>IF(ISBLANK(B10),"",1+MAX(A$6:A9))</f>
        <v/>
      </c>
      <c r="C10" s="108" t="s">
        <v>70</v>
      </c>
      <c r="D10" s="109" t="s">
        <v>5</v>
      </c>
      <c r="E10" s="110" t="s">
        <v>1</v>
      </c>
      <c r="F10" s="3"/>
      <c r="G10" s="122">
        <v>2270</v>
      </c>
      <c r="H10" s="12" t="s">
        <v>43</v>
      </c>
      <c r="I10" s="3"/>
      <c r="J10" s="125">
        <f>IF(MOD(COUNTA($J$8:J$8),Assumptions!$C25)=1, Assumptions!$B25+Assumptions!$B26,0)</f>
        <v>2500</v>
      </c>
      <c r="K10" s="125">
        <f>IF(MOD(COUNTA($J$8:K$8),Assumptions!$C25)=1, Assumptions!$B25+Assumptions!$B26,0)</f>
        <v>0</v>
      </c>
      <c r="L10" s="125">
        <f>IF(MOD(COUNTA($J$8:L$8),Assumptions!$C25)=1, Assumptions!$B25+Assumptions!$B26,0)</f>
        <v>0</v>
      </c>
      <c r="M10" s="125">
        <f>IF(MOD(COUNTA($J$8:M$8),Assumptions!$C25)=1, Assumptions!$B25+Assumptions!$B26,0)</f>
        <v>0</v>
      </c>
      <c r="N10" s="125">
        <f>IF(MOD(COUNTA($J$8:N$8),Assumptions!$C25)=1, Assumptions!$B25+Assumptions!$B26,0)</f>
        <v>2500</v>
      </c>
      <c r="O10" s="3"/>
      <c r="P10" s="8">
        <f t="shared" ref="P10:T15" si="0">J10*$G10</f>
        <v>5675000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5675000</v>
      </c>
    </row>
    <row r="11" spans="1:25" ht="12.75" customHeight="1" x14ac:dyDescent="0.2">
      <c r="A11" s="7" t="str">
        <f>IF(ISBLANK(B11),"",1+MAX(A$6:A10))</f>
        <v/>
      </c>
      <c r="C11" s="108" t="s">
        <v>71</v>
      </c>
      <c r="D11" s="109" t="s">
        <v>5</v>
      </c>
      <c r="E11" s="110" t="s">
        <v>1</v>
      </c>
      <c r="F11" s="3"/>
      <c r="G11" s="122"/>
      <c r="H11" s="12" t="s">
        <v>43</v>
      </c>
      <c r="I11" s="3"/>
      <c r="J11" s="125"/>
      <c r="K11" s="125"/>
      <c r="L11" s="125"/>
      <c r="M11" s="125"/>
      <c r="N11" s="125"/>
      <c r="O11" s="3"/>
      <c r="P11" s="8">
        <f t="shared" si="0"/>
        <v>0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0</v>
      </c>
    </row>
    <row r="12" spans="1:25" ht="12.75" customHeight="1" x14ac:dyDescent="0.2">
      <c r="A12" s="7" t="str">
        <f>IF(ISBLANK(B12),"",1+MAX(A$6:A11))</f>
        <v/>
      </c>
      <c r="C12" s="108" t="s">
        <v>72</v>
      </c>
      <c r="D12" s="109" t="s">
        <v>5</v>
      </c>
      <c r="E12" s="110" t="s">
        <v>1</v>
      </c>
      <c r="F12" s="3"/>
      <c r="G12" s="122">
        <v>1225</v>
      </c>
      <c r="H12" s="12" t="s">
        <v>43</v>
      </c>
      <c r="I12" s="3"/>
      <c r="J12" s="125">
        <f>IF(MOD(COUNTA($J$8:J$8),Assumptions!$C27)=1, Assumptions!$B27,0)</f>
        <v>1830</v>
      </c>
      <c r="K12" s="125">
        <f>IF(MOD(COUNTA($J$8:K$8),Assumptions!$C27)=1, Assumptions!$B27,0)</f>
        <v>0</v>
      </c>
      <c r="L12" s="125">
        <f>IF(MOD(COUNTA($J$8:L$8),Assumptions!$C27)=1, Assumptions!$B27,0)</f>
        <v>0</v>
      </c>
      <c r="M12" s="125">
        <f>IF(MOD(COUNTA($J$8:M$8),Assumptions!$C27)=1, Assumptions!$B27,0)</f>
        <v>1830</v>
      </c>
      <c r="N12" s="125">
        <f>IF(MOD(COUNTA($J$8:N$8),Assumptions!$C27)=1, Assumptions!$B27,0)</f>
        <v>0</v>
      </c>
      <c r="O12" s="3"/>
      <c r="P12" s="8">
        <f t="shared" si="0"/>
        <v>2241750</v>
      </c>
      <c r="Q12" s="8">
        <f t="shared" si="0"/>
        <v>0</v>
      </c>
      <c r="R12" s="8">
        <f t="shared" si="0"/>
        <v>0</v>
      </c>
      <c r="S12" s="8">
        <f t="shared" si="0"/>
        <v>2241750</v>
      </c>
      <c r="T12" s="8">
        <f t="shared" si="0"/>
        <v>0</v>
      </c>
    </row>
    <row r="13" spans="1:25" ht="12.75" customHeight="1" x14ac:dyDescent="0.25">
      <c r="A13" s="7" t="str">
        <f>IF(ISBLANK(B13),"",1+MAX(A$6:A12))</f>
        <v/>
      </c>
      <c r="C13" s="108" t="s">
        <v>73</v>
      </c>
      <c r="D13" s="109" t="s">
        <v>5</v>
      </c>
      <c r="E13" s="110" t="s">
        <v>1</v>
      </c>
      <c r="F13" s="3"/>
      <c r="G13" s="122">
        <v>1442</v>
      </c>
      <c r="H13" s="12" t="s">
        <v>43</v>
      </c>
      <c r="I13" s="3"/>
      <c r="J13" s="125">
        <f>IF(MOD(COUNTA($J$8:J$8),Assumptions!$C28)=1, Assumptions!$B28,0)</f>
        <v>1465</v>
      </c>
      <c r="K13" s="125">
        <f>IF(MOD(COUNTA($J$8:K$8),Assumptions!$C28)=1, Assumptions!$B28,0)</f>
        <v>0</v>
      </c>
      <c r="L13" s="125">
        <f>IF(MOD(COUNTA($J$8:L$8),Assumptions!$C28)=1, Assumptions!$B28,0)</f>
        <v>1465</v>
      </c>
      <c r="M13" s="125">
        <f>IF(MOD(COUNTA($J$8:M$8),Assumptions!$C28)=1, Assumptions!$B28,0)</f>
        <v>0</v>
      </c>
      <c r="N13" s="125">
        <f>IF(MOD(COUNTA($J$8:N$8),Assumptions!$C28)=1, Assumptions!$B28,0)</f>
        <v>1465</v>
      </c>
      <c r="O13" s="3"/>
      <c r="P13" s="8">
        <f t="shared" si="0"/>
        <v>2112530</v>
      </c>
      <c r="Q13" s="8">
        <f t="shared" si="0"/>
        <v>0</v>
      </c>
      <c r="R13" s="8">
        <f t="shared" si="0"/>
        <v>2112530</v>
      </c>
      <c r="S13" s="8">
        <f t="shared" si="0"/>
        <v>0</v>
      </c>
      <c r="T13" s="8">
        <f t="shared" si="0"/>
        <v>2112530</v>
      </c>
      <c r="Y13"/>
    </row>
    <row r="14" spans="1:25" ht="12.75" customHeight="1" x14ac:dyDescent="0.25">
      <c r="A14" s="7" t="str">
        <f>IF(ISBLANK(B14),"",1+MAX(A$6:A13))</f>
        <v/>
      </c>
      <c r="C14" s="108" t="s">
        <v>74</v>
      </c>
      <c r="D14" s="109" t="s">
        <v>5</v>
      </c>
      <c r="E14" s="110" t="s">
        <v>1</v>
      </c>
      <c r="F14" s="3"/>
      <c r="G14" s="122">
        <v>1000</v>
      </c>
      <c r="H14" s="12" t="s">
        <v>43</v>
      </c>
      <c r="I14" s="3"/>
      <c r="J14" s="125">
        <f>IF(MOD(COUNTA($J$8:J$8),Assumptions!$C29)=1, Assumptions!$B29,0)</f>
        <v>150</v>
      </c>
      <c r="K14" s="125">
        <f>IF(MOD(COUNTA($J$8:K$8),Assumptions!$C29)=1, Assumptions!$B29,0)</f>
        <v>0</v>
      </c>
      <c r="L14" s="125">
        <f>IF(MOD(COUNTA($J$8:L$8),Assumptions!$C29)=1, Assumptions!$B29,0)</f>
        <v>0</v>
      </c>
      <c r="M14" s="125">
        <f>IF(MOD(COUNTA($J$8:M$8),Assumptions!$C29)=1, Assumptions!$B29,0)</f>
        <v>150</v>
      </c>
      <c r="N14" s="125">
        <f>IF(MOD(COUNTA($J$8:N$8),Assumptions!$C29)=1, Assumptions!$B29,0)</f>
        <v>0</v>
      </c>
      <c r="O14" s="3"/>
      <c r="P14" s="8">
        <f t="shared" si="0"/>
        <v>150000</v>
      </c>
      <c r="Q14" s="8">
        <f t="shared" si="0"/>
        <v>0</v>
      </c>
      <c r="R14" s="8">
        <f t="shared" si="0"/>
        <v>0</v>
      </c>
      <c r="S14" s="8">
        <f t="shared" si="0"/>
        <v>150000</v>
      </c>
      <c r="T14" s="8">
        <f t="shared" si="0"/>
        <v>0</v>
      </c>
      <c r="Y14"/>
    </row>
    <row r="15" spans="1:25" ht="12.75" customHeight="1" x14ac:dyDescent="0.25">
      <c r="A15" s="7" t="str">
        <f>IF(ISBLANK(B15),"",1+MAX(A$6:A14))</f>
        <v/>
      </c>
      <c r="C15" s="108" t="s">
        <v>75</v>
      </c>
      <c r="D15" s="109" t="s">
        <v>5</v>
      </c>
      <c r="E15" s="110" t="s">
        <v>1</v>
      </c>
      <c r="F15" s="3"/>
      <c r="G15" s="122">
        <v>5000</v>
      </c>
      <c r="H15" s="12" t="s">
        <v>43</v>
      </c>
      <c r="I15" s="3"/>
      <c r="J15" s="125">
        <f>IF(MOD(COUNTA($J$8:J$8),Assumptions!$C30)=1, Assumptions!$B30,0)</f>
        <v>40</v>
      </c>
      <c r="K15" s="125">
        <f>IF(MOD(COUNTA($J$8:K$8),Assumptions!$C30)=1, Assumptions!$B30,0)</f>
        <v>0</v>
      </c>
      <c r="L15" s="125">
        <f>IF(MOD(COUNTA($J$8:L$8),Assumptions!$C30)=1, Assumptions!$B30,0)</f>
        <v>0</v>
      </c>
      <c r="M15" s="125">
        <f>IF(MOD(COUNTA($J$8:M$8),Assumptions!$C30)=1, Assumptions!$B30,0)</f>
        <v>0</v>
      </c>
      <c r="N15" s="125">
        <f>IF(MOD(COUNTA($J$8:N$8),Assumptions!$C30)=1, Assumptions!$B30,0)</f>
        <v>40</v>
      </c>
      <c r="O15" s="3"/>
      <c r="P15" s="8">
        <f t="shared" si="0"/>
        <v>200000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200000</v>
      </c>
      <c r="Y15"/>
    </row>
    <row r="16" spans="1:25" s="100" customFormat="1" ht="12.75" customHeight="1" x14ac:dyDescent="0.25">
      <c r="A16" s="7"/>
      <c r="C16" s="108" t="s">
        <v>76</v>
      </c>
      <c r="D16" s="109" t="s">
        <v>5</v>
      </c>
      <c r="E16" s="110" t="s">
        <v>1</v>
      </c>
      <c r="F16" s="3"/>
      <c r="G16" s="122">
        <v>20000</v>
      </c>
      <c r="H16" s="12" t="s">
        <v>43</v>
      </c>
      <c r="I16" s="3"/>
      <c r="J16" s="125">
        <f>IF(MOD(COUNTA($J$8:J$8),Assumptions!$C31)=1, Assumptions!$B31,0)</f>
        <v>20</v>
      </c>
      <c r="K16" s="125">
        <f>IF(MOD(COUNTA($J$8:K$8),Assumptions!$C31)=1, Assumptions!$B31,0)</f>
        <v>0</v>
      </c>
      <c r="L16" s="125">
        <f>IF(MOD(COUNTA($J$8:L$8),Assumptions!$C31)=1, Assumptions!$B31,0)</f>
        <v>0</v>
      </c>
      <c r="M16" s="125">
        <f>IF(MOD(COUNTA($J$8:M$8),Assumptions!$C31)=1, Assumptions!$B31,0)</f>
        <v>20</v>
      </c>
      <c r="N16" s="125">
        <f>IF(MOD(COUNTA($J$8:N$8),Assumptions!$C31)=1, Assumptions!$B31,0)</f>
        <v>0</v>
      </c>
      <c r="O16" s="3"/>
      <c r="P16" s="8">
        <f t="shared" ref="P16" si="1">J16*$G16</f>
        <v>400000</v>
      </c>
      <c r="Q16" s="8">
        <f t="shared" ref="Q16" si="2">K16*$G16</f>
        <v>0</v>
      </c>
      <c r="R16" s="8">
        <f t="shared" ref="R16" si="3">L16*$G16</f>
        <v>0</v>
      </c>
      <c r="S16" s="8">
        <f t="shared" ref="S16" si="4">M16*$G16</f>
        <v>400000</v>
      </c>
      <c r="T16" s="8">
        <f t="shared" ref="T16" si="5">N16*$G16</f>
        <v>0</v>
      </c>
      <c r="Y16"/>
    </row>
    <row r="17" spans="1:25" ht="12.75" customHeight="1" x14ac:dyDescent="0.25">
      <c r="A17" s="7" t="str">
        <f>IF(ISBLANK(B17),"",1+MAX(A$6:A16))</f>
        <v/>
      </c>
      <c r="C17" s="100"/>
      <c r="D17" s="100"/>
      <c r="E17" s="100"/>
      <c r="F17" s="3"/>
      <c r="G17" s="100"/>
      <c r="I17" s="3"/>
      <c r="J17" s="100"/>
      <c r="K17" s="100"/>
      <c r="L17" s="100"/>
      <c r="M17" s="100"/>
      <c r="N17" s="100"/>
      <c r="O17" s="3"/>
      <c r="Y17"/>
    </row>
    <row r="18" spans="1:25" ht="12.75" customHeight="1" x14ac:dyDescent="0.25">
      <c r="A18" s="7"/>
      <c r="C18" s="100"/>
      <c r="D18" s="100"/>
      <c r="E18" s="100"/>
      <c r="F18" s="3"/>
      <c r="G18" s="100"/>
      <c r="I18" s="3"/>
      <c r="J18" s="100"/>
      <c r="K18" s="100"/>
      <c r="L18" s="100"/>
      <c r="M18" s="100"/>
      <c r="N18" s="100"/>
      <c r="O18" s="3"/>
      <c r="Y18"/>
    </row>
    <row r="19" spans="1:25" ht="12.75" customHeight="1" x14ac:dyDescent="0.25">
      <c r="A19" s="7" t="str">
        <f>IF(ISBLANK(B19),"",1+MAX(A$6:A18))</f>
        <v/>
      </c>
      <c r="C19" s="108" t="s">
        <v>70</v>
      </c>
      <c r="D19" s="109" t="s">
        <v>5</v>
      </c>
      <c r="E19" s="110" t="s">
        <v>2</v>
      </c>
      <c r="F19" s="3"/>
      <c r="G19" s="111">
        <v>122.2</v>
      </c>
      <c r="H19" s="12" t="s">
        <v>42</v>
      </c>
      <c r="I19" s="3"/>
      <c r="J19" s="125">
        <f>J10*Assumptions!$D25</f>
        <v>5000</v>
      </c>
      <c r="K19" s="125">
        <f>K10*Assumptions!$D25</f>
        <v>0</v>
      </c>
      <c r="L19" s="125">
        <f>L10*Assumptions!$D25</f>
        <v>0</v>
      </c>
      <c r="M19" s="125">
        <f>M10*Assumptions!$D25</f>
        <v>0</v>
      </c>
      <c r="N19" s="125">
        <f>N10*Assumptions!$D25</f>
        <v>5000</v>
      </c>
      <c r="O19" s="3"/>
      <c r="P19" s="8">
        <f t="shared" ref="P19:T25" si="6">J19*$G19</f>
        <v>611000</v>
      </c>
      <c r="Q19" s="8">
        <f t="shared" si="6"/>
        <v>0</v>
      </c>
      <c r="R19" s="8">
        <f t="shared" si="6"/>
        <v>0</v>
      </c>
      <c r="S19" s="8">
        <f t="shared" si="6"/>
        <v>0</v>
      </c>
      <c r="T19" s="8">
        <f t="shared" si="6"/>
        <v>611000</v>
      </c>
      <c r="Y19"/>
    </row>
    <row r="20" spans="1:25" s="100" customFormat="1" ht="12.75" customHeight="1" x14ac:dyDescent="0.25">
      <c r="A20" s="7"/>
      <c r="C20" s="108" t="s">
        <v>71</v>
      </c>
      <c r="D20" s="109" t="s">
        <v>5</v>
      </c>
      <c r="E20" s="110" t="s">
        <v>2</v>
      </c>
      <c r="F20" s="3"/>
      <c r="G20" s="111">
        <v>122.2</v>
      </c>
      <c r="H20" s="12" t="s">
        <v>42</v>
      </c>
      <c r="I20" s="3"/>
      <c r="J20" s="125">
        <f>J11*Assumptions!$D26</f>
        <v>0</v>
      </c>
      <c r="K20" s="125">
        <f>K11*Assumptions!$D26</f>
        <v>0</v>
      </c>
      <c r="L20" s="125">
        <f>L11*Assumptions!$D26</f>
        <v>0</v>
      </c>
      <c r="M20" s="125">
        <f>M11*Assumptions!$D26</f>
        <v>0</v>
      </c>
      <c r="N20" s="125">
        <f>N11*Assumptions!$D26</f>
        <v>0</v>
      </c>
      <c r="O20" s="3"/>
      <c r="P20" s="8">
        <f t="shared" ref="P20:P24" si="7">J20*$G20</f>
        <v>0</v>
      </c>
      <c r="Q20" s="8">
        <f t="shared" ref="Q20:Q24" si="8">K20*$G20</f>
        <v>0</v>
      </c>
      <c r="R20" s="8">
        <f t="shared" ref="R20:R24" si="9">L20*$G20</f>
        <v>0</v>
      </c>
      <c r="S20" s="8">
        <f t="shared" ref="S20:S24" si="10">M20*$G20</f>
        <v>0</v>
      </c>
      <c r="T20" s="8">
        <f t="shared" ref="T20:T24" si="11">N20*$G20</f>
        <v>0</v>
      </c>
      <c r="Y20"/>
    </row>
    <row r="21" spans="1:25" s="100" customFormat="1" ht="12.75" customHeight="1" x14ac:dyDescent="0.25">
      <c r="A21" s="7"/>
      <c r="C21" s="108" t="s">
        <v>72</v>
      </c>
      <c r="D21" s="109" t="s">
        <v>5</v>
      </c>
      <c r="E21" s="110" t="s">
        <v>2</v>
      </c>
      <c r="F21" s="3"/>
      <c r="G21" s="111">
        <v>122.2</v>
      </c>
      <c r="H21" s="12" t="s">
        <v>42</v>
      </c>
      <c r="I21" s="3"/>
      <c r="J21" s="125">
        <f>J12*Assumptions!$D27</f>
        <v>457.5</v>
      </c>
      <c r="K21" s="125">
        <f>K12*Assumptions!$D27</f>
        <v>0</v>
      </c>
      <c r="L21" s="125">
        <f>L12*Assumptions!$D27</f>
        <v>0</v>
      </c>
      <c r="M21" s="125">
        <f>M12*Assumptions!$D27</f>
        <v>457.5</v>
      </c>
      <c r="N21" s="125">
        <f>N12*Assumptions!$D27</f>
        <v>0</v>
      </c>
      <c r="O21" s="3"/>
      <c r="P21" s="8">
        <f t="shared" si="7"/>
        <v>55906.5</v>
      </c>
      <c r="Q21" s="8">
        <f t="shared" si="8"/>
        <v>0</v>
      </c>
      <c r="R21" s="8">
        <f t="shared" si="9"/>
        <v>0</v>
      </c>
      <c r="S21" s="8">
        <f t="shared" si="10"/>
        <v>55906.5</v>
      </c>
      <c r="T21" s="8">
        <f t="shared" si="11"/>
        <v>0</v>
      </c>
      <c r="Y21"/>
    </row>
    <row r="22" spans="1:25" s="100" customFormat="1" ht="12.75" customHeight="1" x14ac:dyDescent="0.25">
      <c r="A22" s="7"/>
      <c r="C22" s="108" t="s">
        <v>73</v>
      </c>
      <c r="D22" s="109" t="s">
        <v>5</v>
      </c>
      <c r="E22" s="110" t="s">
        <v>2</v>
      </c>
      <c r="F22" s="3"/>
      <c r="G22" s="111">
        <v>122.2</v>
      </c>
      <c r="H22" s="12" t="s">
        <v>42</v>
      </c>
      <c r="I22" s="3"/>
      <c r="J22" s="125">
        <f>J13*Assumptions!$D28</f>
        <v>366.25</v>
      </c>
      <c r="K22" s="125">
        <f>K13*Assumptions!$D28</f>
        <v>0</v>
      </c>
      <c r="L22" s="125">
        <f>L13*Assumptions!$D28</f>
        <v>366.25</v>
      </c>
      <c r="M22" s="125">
        <f>M13*Assumptions!$D28</f>
        <v>0</v>
      </c>
      <c r="N22" s="125">
        <f>N13*Assumptions!$D28</f>
        <v>366.25</v>
      </c>
      <c r="O22" s="3"/>
      <c r="P22" s="8">
        <f t="shared" si="7"/>
        <v>44755.75</v>
      </c>
      <c r="Q22" s="8">
        <f t="shared" si="8"/>
        <v>0</v>
      </c>
      <c r="R22" s="8">
        <f t="shared" si="9"/>
        <v>44755.75</v>
      </c>
      <c r="S22" s="8">
        <f t="shared" si="10"/>
        <v>0</v>
      </c>
      <c r="T22" s="8">
        <f t="shared" si="11"/>
        <v>44755.75</v>
      </c>
      <c r="Y22"/>
    </row>
    <row r="23" spans="1:25" s="100" customFormat="1" ht="12.75" customHeight="1" x14ac:dyDescent="0.25">
      <c r="A23" s="7"/>
      <c r="C23" s="108" t="s">
        <v>74</v>
      </c>
      <c r="D23" s="109" t="s">
        <v>5</v>
      </c>
      <c r="E23" s="110" t="s">
        <v>2</v>
      </c>
      <c r="F23" s="3"/>
      <c r="G23" s="111">
        <v>122.2</v>
      </c>
      <c r="H23" s="12" t="s">
        <v>42</v>
      </c>
      <c r="I23" s="3"/>
      <c r="J23" s="125">
        <f>J14*Assumptions!$D29</f>
        <v>150</v>
      </c>
      <c r="K23" s="125">
        <f>K14*Assumptions!$D29</f>
        <v>0</v>
      </c>
      <c r="L23" s="125">
        <f>L14*Assumptions!$D29</f>
        <v>0</v>
      </c>
      <c r="M23" s="125">
        <f>M14*Assumptions!$D29</f>
        <v>150</v>
      </c>
      <c r="N23" s="125">
        <f>N14*Assumptions!$D29</f>
        <v>0</v>
      </c>
      <c r="O23" s="3"/>
      <c r="P23" s="8">
        <f t="shared" si="7"/>
        <v>18330</v>
      </c>
      <c r="Q23" s="8">
        <f t="shared" si="8"/>
        <v>0</v>
      </c>
      <c r="R23" s="8">
        <f t="shared" si="9"/>
        <v>0</v>
      </c>
      <c r="S23" s="8">
        <f t="shared" si="10"/>
        <v>18330</v>
      </c>
      <c r="T23" s="8">
        <f t="shared" si="11"/>
        <v>0</v>
      </c>
      <c r="Y23"/>
    </row>
    <row r="24" spans="1:25" s="100" customFormat="1" ht="12.75" customHeight="1" x14ac:dyDescent="0.25">
      <c r="A24" s="7"/>
      <c r="C24" s="108" t="s">
        <v>75</v>
      </c>
      <c r="D24" s="109" t="s">
        <v>5</v>
      </c>
      <c r="E24" s="110" t="s">
        <v>2</v>
      </c>
      <c r="F24" s="3"/>
      <c r="G24" s="111">
        <v>122.2</v>
      </c>
      <c r="H24" s="12" t="s">
        <v>42</v>
      </c>
      <c r="I24" s="3"/>
      <c r="J24" s="125">
        <f>J15*Assumptions!$D30</f>
        <v>160</v>
      </c>
      <c r="K24" s="125">
        <f>K15*Assumptions!$D30</f>
        <v>0</v>
      </c>
      <c r="L24" s="125">
        <f>L15*Assumptions!$D30</f>
        <v>0</v>
      </c>
      <c r="M24" s="125">
        <f>M15*Assumptions!$D30</f>
        <v>0</v>
      </c>
      <c r="N24" s="125">
        <f>N15*Assumptions!$D30</f>
        <v>160</v>
      </c>
      <c r="O24" s="3"/>
      <c r="P24" s="8">
        <f t="shared" si="7"/>
        <v>19552</v>
      </c>
      <c r="Q24" s="8">
        <f t="shared" si="8"/>
        <v>0</v>
      </c>
      <c r="R24" s="8">
        <f t="shared" si="9"/>
        <v>0</v>
      </c>
      <c r="S24" s="8">
        <f t="shared" si="10"/>
        <v>0</v>
      </c>
      <c r="T24" s="8">
        <f t="shared" si="11"/>
        <v>19552</v>
      </c>
      <c r="Y24"/>
    </row>
    <row r="25" spans="1:25" ht="12.75" customHeight="1" x14ac:dyDescent="0.25">
      <c r="A25" s="7" t="str">
        <f>IF(ISBLANK(B25),"",1+MAX(A$6:A19))</f>
        <v/>
      </c>
      <c r="C25" s="108" t="s">
        <v>76</v>
      </c>
      <c r="D25" s="109" t="s">
        <v>5</v>
      </c>
      <c r="E25" s="110" t="s">
        <v>2</v>
      </c>
      <c r="F25" s="3"/>
      <c r="G25" s="111">
        <v>122.2</v>
      </c>
      <c r="H25" s="12" t="s">
        <v>42</v>
      </c>
      <c r="I25" s="3"/>
      <c r="J25" s="125">
        <f>J16*Assumptions!$D31</f>
        <v>80</v>
      </c>
      <c r="K25" s="125">
        <f>K16*Assumptions!$D31</f>
        <v>0</v>
      </c>
      <c r="L25" s="125">
        <f>L16*Assumptions!$D31</f>
        <v>0</v>
      </c>
      <c r="M25" s="125">
        <f>M16*Assumptions!$D31</f>
        <v>80</v>
      </c>
      <c r="N25" s="125">
        <f>N16*Assumptions!$D31</f>
        <v>0</v>
      </c>
      <c r="O25" s="3"/>
      <c r="P25" s="8">
        <f t="shared" si="6"/>
        <v>9776</v>
      </c>
      <c r="Q25" s="8">
        <f t="shared" si="6"/>
        <v>0</v>
      </c>
      <c r="R25" s="8">
        <f t="shared" si="6"/>
        <v>0</v>
      </c>
      <c r="S25" s="8">
        <f t="shared" si="6"/>
        <v>9776</v>
      </c>
      <c r="T25" s="8">
        <f t="shared" si="6"/>
        <v>0</v>
      </c>
      <c r="Y25"/>
    </row>
    <row r="26" spans="1:25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Y26"/>
    </row>
    <row r="27" spans="1:25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Y27"/>
    </row>
    <row r="28" spans="1:25" ht="12.75" customHeight="1" x14ac:dyDescent="0.2">
      <c r="A28" s="7" t="str">
        <f>IF(ISBLANK(B28),"",1+MAX(A$6:A27))</f>
        <v/>
      </c>
      <c r="C28" s="108"/>
      <c r="D28" s="109"/>
      <c r="E28" s="110"/>
      <c r="G28" s="6"/>
      <c r="H28" s="13" t="s">
        <v>44</v>
      </c>
      <c r="J28" s="112"/>
      <c r="K28" s="113"/>
      <c r="L28" s="112"/>
      <c r="M28" s="113"/>
      <c r="N28" s="112"/>
      <c r="P28" s="8">
        <f t="shared" ref="P28:T31" si="12">J28</f>
        <v>0</v>
      </c>
      <c r="Q28" s="8">
        <f t="shared" si="12"/>
        <v>0</v>
      </c>
      <c r="R28" s="8">
        <f t="shared" si="12"/>
        <v>0</v>
      </c>
      <c r="S28" s="8">
        <f t="shared" si="12"/>
        <v>0</v>
      </c>
      <c r="T28" s="8">
        <f t="shared" si="12"/>
        <v>0</v>
      </c>
    </row>
    <row r="29" spans="1:25" s="100" customFormat="1" ht="12.75" customHeight="1" x14ac:dyDescent="0.2">
      <c r="A29" s="7"/>
      <c r="C29" s="108"/>
      <c r="D29" s="109"/>
      <c r="E29" s="110"/>
      <c r="G29" s="6"/>
      <c r="H29" s="13" t="s">
        <v>44</v>
      </c>
      <c r="J29" s="112"/>
      <c r="K29" s="113"/>
      <c r="L29" s="112"/>
      <c r="M29" s="113"/>
      <c r="N29" s="112"/>
      <c r="P29" s="8"/>
      <c r="Q29" s="8"/>
      <c r="R29" s="8"/>
      <c r="S29" s="8"/>
      <c r="T29" s="8"/>
    </row>
    <row r="30" spans="1:25" s="100" customFormat="1" ht="12.75" customHeight="1" x14ac:dyDescent="0.2">
      <c r="A30" s="7"/>
      <c r="C30" s="108"/>
      <c r="D30" s="109"/>
      <c r="E30" s="110"/>
      <c r="G30" s="6"/>
      <c r="H30" s="13" t="s">
        <v>44</v>
      </c>
      <c r="J30" s="112"/>
      <c r="K30" s="113"/>
      <c r="L30" s="112"/>
      <c r="M30" s="113"/>
      <c r="N30" s="112"/>
      <c r="P30" s="8"/>
      <c r="Q30" s="8"/>
      <c r="R30" s="8"/>
      <c r="S30" s="8"/>
      <c r="T30" s="8"/>
    </row>
    <row r="31" spans="1:25" ht="12.75" customHeight="1" x14ac:dyDescent="0.2">
      <c r="A31" s="7"/>
      <c r="C31" s="108"/>
      <c r="D31" s="109"/>
      <c r="E31" s="110"/>
      <c r="G31" s="6"/>
      <c r="H31" s="13" t="s">
        <v>44</v>
      </c>
      <c r="J31" s="112"/>
      <c r="K31" s="113"/>
      <c r="L31" s="112"/>
      <c r="M31" s="113"/>
      <c r="N31" s="112"/>
      <c r="P31" s="8">
        <f t="shared" si="12"/>
        <v>0</v>
      </c>
      <c r="Q31" s="8">
        <f t="shared" si="12"/>
        <v>0</v>
      </c>
      <c r="R31" s="8">
        <f t="shared" si="12"/>
        <v>0</v>
      </c>
      <c r="S31" s="8">
        <f t="shared" si="12"/>
        <v>0</v>
      </c>
      <c r="T31" s="8">
        <f t="shared" si="12"/>
        <v>0</v>
      </c>
    </row>
    <row r="32" spans="1:25" ht="12.75" customHeight="1" x14ac:dyDescent="0.2">
      <c r="A32" s="7"/>
      <c r="B32" s="100"/>
      <c r="C32" s="108"/>
      <c r="D32" s="109"/>
      <c r="E32" s="110"/>
      <c r="F32" s="100"/>
      <c r="G32" s="6"/>
      <c r="H32" s="13" t="s">
        <v>44</v>
      </c>
      <c r="I32" s="100"/>
      <c r="J32" s="112"/>
      <c r="K32" s="113"/>
      <c r="L32" s="112"/>
      <c r="M32" s="113"/>
      <c r="N32" s="112"/>
      <c r="O32" s="100"/>
      <c r="P32" s="8">
        <f t="shared" ref="P32" si="13">J32</f>
        <v>0</v>
      </c>
      <c r="Q32" s="8">
        <f t="shared" ref="Q32" si="14">K32</f>
        <v>0</v>
      </c>
      <c r="R32" s="8">
        <f t="shared" ref="R32" si="15">L32</f>
        <v>0</v>
      </c>
      <c r="S32" s="8">
        <f t="shared" ref="S32" si="16">M32</f>
        <v>0</v>
      </c>
      <c r="T32" s="8">
        <f t="shared" ref="T32" si="17">N32</f>
        <v>0</v>
      </c>
    </row>
    <row r="33" spans="3:25" ht="12.75" customHeight="1" x14ac:dyDescent="0.25">
      <c r="F33" s="100"/>
      <c r="I33" s="100"/>
      <c r="O33" s="100"/>
      <c r="Y33"/>
    </row>
    <row r="34" spans="3:25" ht="12.75" customHeight="1" x14ac:dyDescent="0.25">
      <c r="F34" s="100"/>
      <c r="I34" s="100"/>
      <c r="O34" s="100"/>
      <c r="Y34"/>
    </row>
    <row r="35" spans="3:25" ht="12.75" customHeight="1" x14ac:dyDescent="0.25">
      <c r="C35" s="5" t="s">
        <v>13</v>
      </c>
      <c r="F35" s="100"/>
      <c r="I35" s="100"/>
      <c r="O35" s="100"/>
      <c r="Y35"/>
    </row>
    <row r="36" spans="3:25" ht="12.75" customHeight="1" x14ac:dyDescent="0.2">
      <c r="C36" s="28" t="s">
        <v>2</v>
      </c>
      <c r="D36" s="28" t="s">
        <v>5</v>
      </c>
      <c r="E36" s="28"/>
      <c r="F36" s="100"/>
      <c r="G36" s="28"/>
      <c r="H36" s="29"/>
      <c r="I36" s="100"/>
      <c r="J36" s="28"/>
      <c r="K36" s="28"/>
      <c r="L36" s="28"/>
      <c r="M36" s="28"/>
      <c r="N36" s="28"/>
      <c r="O36" s="100"/>
      <c r="P36" s="30">
        <f t="shared" ref="P36:T41" si="18">SUMIFS(P$10:P$31,$E$10:$E$31,$C36,$D$10:$D$31,$D36)</f>
        <v>759320.25</v>
      </c>
      <c r="Q36" s="30">
        <f t="shared" si="18"/>
        <v>0</v>
      </c>
      <c r="R36" s="30">
        <f t="shared" si="18"/>
        <v>44755.75</v>
      </c>
      <c r="S36" s="30">
        <f t="shared" si="18"/>
        <v>84012.5</v>
      </c>
      <c r="T36" s="30">
        <f t="shared" si="18"/>
        <v>675307.75</v>
      </c>
    </row>
    <row r="37" spans="3:25" ht="12.75" customHeight="1" x14ac:dyDescent="0.2">
      <c r="C37" s="4" t="s">
        <v>1</v>
      </c>
      <c r="D37" s="4" t="s">
        <v>5</v>
      </c>
      <c r="E37" s="4"/>
      <c r="F37" s="100"/>
      <c r="G37" s="4"/>
      <c r="H37" s="13"/>
      <c r="I37" s="100"/>
      <c r="J37" s="4"/>
      <c r="K37" s="4"/>
      <c r="L37" s="4"/>
      <c r="M37" s="4"/>
      <c r="N37" s="4"/>
      <c r="O37" s="100"/>
      <c r="P37" s="9">
        <f t="shared" si="18"/>
        <v>10779280</v>
      </c>
      <c r="Q37" s="9">
        <f t="shared" si="18"/>
        <v>0</v>
      </c>
      <c r="R37" s="9">
        <f t="shared" si="18"/>
        <v>2112530</v>
      </c>
      <c r="S37" s="9">
        <f t="shared" si="18"/>
        <v>2791750</v>
      </c>
      <c r="T37" s="9">
        <f t="shared" si="18"/>
        <v>7987530</v>
      </c>
    </row>
    <row r="38" spans="3:25" ht="12.75" customHeight="1" x14ac:dyDescent="0.2">
      <c r="C38" s="4" t="s">
        <v>4</v>
      </c>
      <c r="D38" s="4" t="s">
        <v>5</v>
      </c>
      <c r="E38" s="4"/>
      <c r="F38" s="100"/>
      <c r="G38" s="4"/>
      <c r="H38" s="13"/>
      <c r="I38" s="100"/>
      <c r="J38" s="4"/>
      <c r="K38" s="4"/>
      <c r="L38" s="4"/>
      <c r="M38" s="4"/>
      <c r="N38" s="4"/>
      <c r="O38" s="100"/>
      <c r="P38" s="9">
        <f t="shared" si="18"/>
        <v>0</v>
      </c>
      <c r="Q38" s="9">
        <f t="shared" si="18"/>
        <v>0</v>
      </c>
      <c r="R38" s="9">
        <f t="shared" si="18"/>
        <v>0</v>
      </c>
      <c r="S38" s="9">
        <f t="shared" si="18"/>
        <v>0</v>
      </c>
      <c r="T38" s="9">
        <f t="shared" si="18"/>
        <v>0</v>
      </c>
    </row>
    <row r="39" spans="3:25" ht="12.75" customHeight="1" x14ac:dyDescent="0.2">
      <c r="C39" s="4" t="s">
        <v>2</v>
      </c>
      <c r="D39" s="4" t="s">
        <v>41</v>
      </c>
      <c r="E39" s="4"/>
      <c r="F39" s="100"/>
      <c r="G39" s="4"/>
      <c r="H39" s="13"/>
      <c r="I39" s="100"/>
      <c r="J39" s="4"/>
      <c r="K39" s="4"/>
      <c r="L39" s="4"/>
      <c r="M39" s="4"/>
      <c r="N39" s="4"/>
      <c r="O39" s="100"/>
      <c r="P39" s="9">
        <f t="shared" si="18"/>
        <v>0</v>
      </c>
      <c r="Q39" s="9">
        <f t="shared" si="18"/>
        <v>0</v>
      </c>
      <c r="R39" s="9">
        <f t="shared" si="18"/>
        <v>0</v>
      </c>
      <c r="S39" s="9">
        <f t="shared" si="18"/>
        <v>0</v>
      </c>
      <c r="T39" s="9">
        <f t="shared" si="18"/>
        <v>0</v>
      </c>
    </row>
    <row r="40" spans="3:25" ht="12.75" customHeight="1" x14ac:dyDescent="0.2">
      <c r="C40" s="4" t="s">
        <v>1</v>
      </c>
      <c r="D40" s="4" t="s">
        <v>41</v>
      </c>
      <c r="E40" s="4"/>
      <c r="F40" s="100"/>
      <c r="G40" s="4"/>
      <c r="H40" s="13"/>
      <c r="I40" s="100"/>
      <c r="J40" s="4"/>
      <c r="K40" s="4"/>
      <c r="L40" s="4"/>
      <c r="M40" s="4"/>
      <c r="N40" s="4"/>
      <c r="O40" s="100"/>
      <c r="P40" s="9">
        <f t="shared" si="18"/>
        <v>0</v>
      </c>
      <c r="Q40" s="9">
        <f t="shared" si="18"/>
        <v>0</v>
      </c>
      <c r="R40" s="9">
        <f t="shared" si="18"/>
        <v>0</v>
      </c>
      <c r="S40" s="9">
        <f t="shared" si="18"/>
        <v>0</v>
      </c>
      <c r="T40" s="9">
        <f t="shared" si="18"/>
        <v>0</v>
      </c>
    </row>
    <row r="41" spans="3:25" ht="12.75" customHeight="1" x14ac:dyDescent="0.2">
      <c r="C41" s="4" t="s">
        <v>4</v>
      </c>
      <c r="D41" s="4" t="s">
        <v>41</v>
      </c>
      <c r="E41" s="7"/>
      <c r="F41" s="100"/>
      <c r="G41" s="7"/>
      <c r="H41" s="31"/>
      <c r="I41" s="100"/>
      <c r="J41" s="7"/>
      <c r="K41" s="7"/>
      <c r="L41" s="7"/>
      <c r="M41" s="7"/>
      <c r="N41" s="7"/>
      <c r="O41" s="100"/>
      <c r="P41" s="9">
        <f t="shared" si="18"/>
        <v>0</v>
      </c>
      <c r="Q41" s="9">
        <f t="shared" si="18"/>
        <v>0</v>
      </c>
      <c r="R41" s="9">
        <f t="shared" si="18"/>
        <v>0</v>
      </c>
      <c r="S41" s="9">
        <f t="shared" si="18"/>
        <v>0</v>
      </c>
      <c r="T41" s="9">
        <f t="shared" si="18"/>
        <v>0</v>
      </c>
    </row>
    <row r="42" spans="3:25" ht="12.75" customHeight="1" x14ac:dyDescent="0.2">
      <c r="C42" s="10" t="str">
        <f>"Total Expenditure ($ "&amp;Assumptions!$B$8&amp;")"</f>
        <v>Total Expenditure ($ 2018)</v>
      </c>
      <c r="D42" s="10"/>
      <c r="E42" s="10"/>
      <c r="F42" s="100"/>
      <c r="G42" s="10"/>
      <c r="H42" s="14"/>
      <c r="I42" s="100"/>
      <c r="J42" s="10"/>
      <c r="K42" s="10"/>
      <c r="L42" s="10"/>
      <c r="M42" s="10"/>
      <c r="N42" s="10"/>
      <c r="O42" s="100"/>
      <c r="P42" s="11">
        <f>SUM(P36:P41)</f>
        <v>11538600.25</v>
      </c>
      <c r="Q42" s="11">
        <f t="shared" ref="Q42:T42" si="19">SUM(Q36:Q41)</f>
        <v>0</v>
      </c>
      <c r="R42" s="11">
        <f t="shared" si="19"/>
        <v>2157285.75</v>
      </c>
      <c r="S42" s="11">
        <f t="shared" si="19"/>
        <v>2875762.5</v>
      </c>
      <c r="T42" s="11">
        <f t="shared" si="19"/>
        <v>8662837.75</v>
      </c>
      <c r="U42" s="44"/>
      <c r="V42" s="100"/>
      <c r="W42" s="100"/>
      <c r="X42" s="100"/>
    </row>
    <row r="43" spans="3:25" ht="12.75" customHeight="1" x14ac:dyDescent="0.2">
      <c r="C43" s="28" t="str">
        <f>"Total Expenditure ($ "&amp;Assumptions!B17&amp;")"</f>
        <v>Total Expenditure ($ 2020/21)</v>
      </c>
      <c r="D43" s="28"/>
      <c r="E43" s="28"/>
      <c r="F43" s="100"/>
      <c r="G43" s="28"/>
      <c r="H43" s="29"/>
      <c r="I43" s="100"/>
      <c r="J43" s="28"/>
      <c r="K43" s="28"/>
      <c r="L43" s="28"/>
      <c r="M43" s="28"/>
      <c r="N43" s="28"/>
      <c r="O43" s="100"/>
      <c r="P43" s="45">
        <f>P42*Assumptions!$B$18</f>
        <v>12219876.259827845</v>
      </c>
      <c r="Q43" s="45">
        <f>Q42*Assumptions!$B$18</f>
        <v>0</v>
      </c>
      <c r="R43" s="45">
        <f>R42*Assumptions!$B$18</f>
        <v>2284658.8278409163</v>
      </c>
      <c r="S43" s="45">
        <f>S42*Assumptions!$B$18</f>
        <v>3045556.7522285185</v>
      </c>
      <c r="T43" s="45">
        <f>T42*Assumptions!$B$18</f>
        <v>9174319.5075993259</v>
      </c>
      <c r="U43" s="44"/>
      <c r="V43" s="100"/>
      <c r="W43" s="100"/>
      <c r="X43" s="100"/>
    </row>
    <row r="44" spans="3:25" x14ac:dyDescent="0.2">
      <c r="C44" s="101" t="s">
        <v>12</v>
      </c>
      <c r="D44" s="101"/>
      <c r="E44" s="101"/>
      <c r="F44" s="100"/>
      <c r="G44" s="101"/>
      <c r="H44" s="101"/>
      <c r="I44" s="100"/>
      <c r="J44" s="101"/>
      <c r="K44" s="101"/>
      <c r="L44" s="101"/>
      <c r="M44" s="101"/>
      <c r="N44" s="101"/>
      <c r="O44" s="100"/>
      <c r="P44" s="102">
        <f>P42-SUM(P10:P32)</f>
        <v>0</v>
      </c>
      <c r="Q44" s="102">
        <f t="shared" ref="Q44:T44" si="20">Q42-SUM(Q10:Q32)</f>
        <v>0</v>
      </c>
      <c r="R44" s="102">
        <f t="shared" si="20"/>
        <v>0</v>
      </c>
      <c r="S44" s="102">
        <f t="shared" si="20"/>
        <v>0</v>
      </c>
      <c r="T44" s="102">
        <f t="shared" si="20"/>
        <v>0</v>
      </c>
      <c r="U44" s="100"/>
      <c r="V44" s="102">
        <f>SUM(P44:T44)</f>
        <v>0</v>
      </c>
      <c r="W44" s="100"/>
      <c r="X44" s="100"/>
    </row>
    <row r="45" spans="3:25" ht="12.75" customHeight="1" x14ac:dyDescent="0.2">
      <c r="C45" s="100"/>
      <c r="D45" s="100"/>
      <c r="E45" s="100"/>
      <c r="F45" s="100"/>
      <c r="G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</row>
    <row r="46" spans="3:25" ht="12.75" customHeight="1" x14ac:dyDescent="0.2">
      <c r="C46" s="128" t="str">
        <f>"NPV ($ "&amp;Assumptions!$B$17&amp;")"</f>
        <v>NPV ($ 2020/21)</v>
      </c>
      <c r="D46" s="129">
        <f>NPV(Assumptions!$B$6,$P$43:$T$43)</f>
        <v>24741871.380315479</v>
      </c>
      <c r="E46" s="40"/>
      <c r="F46" s="100"/>
      <c r="G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</row>
    <row r="47" spans="3:25" ht="12.75" customHeight="1" x14ac:dyDescent="0.2">
      <c r="F47" s="100"/>
      <c r="I47" s="100"/>
      <c r="O47" s="100"/>
    </row>
    <row r="48" spans="3:25" ht="12.75" customHeight="1" x14ac:dyDescent="0.2">
      <c r="F48" s="100"/>
      <c r="I48" s="100"/>
      <c r="O48" s="100"/>
    </row>
    <row r="49" spans="6:15" ht="12.75" customHeight="1" x14ac:dyDescent="0.2">
      <c r="F49" s="100"/>
      <c r="I49" s="100"/>
      <c r="O49" s="100"/>
    </row>
    <row r="50" spans="6:15" ht="12.75" customHeight="1" x14ac:dyDescent="0.2">
      <c r="F50" s="100"/>
      <c r="I50" s="100"/>
      <c r="O50" s="100"/>
    </row>
    <row r="51" spans="6:15" ht="12.75" customHeight="1" x14ac:dyDescent="0.2"/>
  </sheetData>
  <conditionalFormatting sqref="P44:T44">
    <cfRule type="expression" dxfId="1" priority="5">
      <formula>ABS(P44)&gt;0.001</formula>
    </cfRule>
  </conditionalFormatting>
  <conditionalFormatting sqref="V44">
    <cfRule type="expression" dxfId="0" priority="1">
      <formula>ABS(V44)&gt;0.001</formula>
    </cfRule>
  </conditionalFormatting>
  <dataValidations count="2">
    <dataValidation type="list" allowBlank="1" showInputMessage="1" showErrorMessage="1" sqref="E28:E32 E10:E16 E19:E25">
      <formula1>"Labour, Materials, Contracts"</formula1>
    </dataValidation>
    <dataValidation type="list" allowBlank="1" showInputMessage="1" showErrorMessage="1" sqref="D28:D32 D19:D25 D10:D16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Output</vt:lpstr>
      <vt:lpstr>Summary</vt:lpstr>
      <vt:lpstr>Assumptions</vt:lpstr>
      <vt:lpstr>Option 1</vt:lpstr>
      <vt:lpstr>Option 2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2020-01-02T23:56:58Z</dcterms:created>
  <dcterms:modified xsi:type="dcterms:W3CDTF">2020-01-22T05:49:45Z</dcterms:modified>
</cp:coreProperties>
</file>