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/>
  <bookViews>
    <workbookView xWindow="990" yWindow="-120" windowWidth="27930" windowHeight="16440" tabRatio="896"/>
  </bookViews>
  <sheets>
    <sheet name="Output" sheetId="72" r:id="rId1"/>
    <sheet name="Summary" sheetId="70" r:id="rId2"/>
    <sheet name="Assumptions" sheetId="74" r:id="rId3"/>
    <sheet name="Option 1" sheetId="69" r:id="rId4"/>
    <sheet name="Option 2" sheetId="71" r:id="rId5"/>
    <sheet name="Benefits" sheetId="76" r:id="rId6"/>
  </sheets>
  <definedNames>
    <definedName name="Conv_2021">Assumptions!$B$18</definedName>
    <definedName name="Option1_categories">'Option 1'!$C$36:$C$41</definedName>
    <definedName name="Option1_costs">'Option 1'!$P$36:$T$41</definedName>
    <definedName name="Option2_categories">'Option 2'!$C$34:$C$39</definedName>
    <definedName name="Option2_costs">'Option 2'!$P$34:$T$39</definedName>
    <definedName name="_xlnm.Print_Area" localSheetId="1">Summary!$A$1:$J$28</definedName>
    <definedName name="years">'Option 1'!$P$8:$T$8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0" i="76" l="1"/>
  <c r="F20" i="76"/>
  <c r="E20" i="76"/>
  <c r="G13" i="76"/>
  <c r="F13" i="76"/>
  <c r="E13" i="76"/>
  <c r="G49" i="76" l="1"/>
  <c r="G61" i="76"/>
  <c r="G56" i="76"/>
  <c r="G58" i="76"/>
  <c r="A24" i="74"/>
  <c r="A23" i="74"/>
  <c r="G19" i="76"/>
  <c r="F19" i="76"/>
  <c r="E19" i="76"/>
  <c r="G14" i="76"/>
  <c r="F14" i="76"/>
  <c r="E14" i="76"/>
  <c r="E22" i="76" s="1"/>
  <c r="E23" i="76" s="1"/>
  <c r="F9" i="76"/>
  <c r="E9" i="76"/>
  <c r="G8" i="76"/>
  <c r="G7" i="76"/>
  <c r="G9" i="76"/>
  <c r="G22" i="76"/>
  <c r="G23" i="76" s="1"/>
  <c r="F22" i="76"/>
  <c r="F23" i="76" s="1"/>
  <c r="G50" i="76"/>
  <c r="G40" i="76"/>
  <c r="G41" i="76"/>
  <c r="G33" i="76"/>
  <c r="G34" i="76"/>
  <c r="T28" i="71"/>
  <c r="S28" i="71"/>
  <c r="R28" i="71"/>
  <c r="Q28" i="71"/>
  <c r="P28" i="71"/>
  <c r="T27" i="71"/>
  <c r="S27" i="71"/>
  <c r="R27" i="71"/>
  <c r="Q27" i="71"/>
  <c r="P27" i="71"/>
  <c r="N95" i="76"/>
  <c r="J95" i="76"/>
  <c r="H95" i="76"/>
  <c r="K95" i="76"/>
  <c r="M95" i="76"/>
  <c r="I95" i="76"/>
  <c r="H74" i="76"/>
  <c r="L95" i="76"/>
  <c r="G74" i="76"/>
  <c r="G95" i="76"/>
  <c r="K74" i="76"/>
  <c r="N74" i="76"/>
  <c r="J74" i="76"/>
  <c r="M74" i="76"/>
  <c r="L74" i="76"/>
  <c r="I74" i="76"/>
  <c r="G51" i="76"/>
  <c r="G53" i="76"/>
  <c r="G65" i="76" s="1"/>
  <c r="G66" i="76" s="1"/>
  <c r="G63" i="76"/>
  <c r="T23" i="69"/>
  <c r="S23" i="69"/>
  <c r="R23" i="69"/>
  <c r="Q23" i="69"/>
  <c r="P23" i="69"/>
  <c r="P11" i="69"/>
  <c r="P12" i="69"/>
  <c r="P13" i="69"/>
  <c r="P14" i="69"/>
  <c r="P15" i="69"/>
  <c r="P19" i="69"/>
  <c r="P20" i="69"/>
  <c r="P21" i="69"/>
  <c r="P22" i="69"/>
  <c r="P24" i="69"/>
  <c r="P25" i="69"/>
  <c r="P10" i="69"/>
  <c r="P18" i="69"/>
  <c r="E109" i="76"/>
  <c r="Q11" i="69"/>
  <c r="Q12" i="69"/>
  <c r="Q13" i="69"/>
  <c r="Q14" i="69"/>
  <c r="Q15" i="69"/>
  <c r="Q19" i="69"/>
  <c r="Q20" i="69"/>
  <c r="Q21" i="69"/>
  <c r="Q22" i="69"/>
  <c r="Q24" i="69"/>
  <c r="Q25" i="69"/>
  <c r="Q10" i="69"/>
  <c r="Q18" i="69"/>
  <c r="R11" i="69"/>
  <c r="R12" i="69"/>
  <c r="R13" i="69"/>
  <c r="R14" i="69"/>
  <c r="R15" i="69"/>
  <c r="R19" i="69"/>
  <c r="R20" i="69"/>
  <c r="R21" i="69"/>
  <c r="R22" i="69"/>
  <c r="R24" i="69"/>
  <c r="R25" i="69"/>
  <c r="R10" i="69"/>
  <c r="R18" i="69"/>
  <c r="S11" i="69"/>
  <c r="S12" i="69"/>
  <c r="S13" i="69"/>
  <c r="S14" i="69"/>
  <c r="S15" i="69"/>
  <c r="S19" i="69"/>
  <c r="S20" i="69"/>
  <c r="S21" i="69"/>
  <c r="S22" i="69"/>
  <c r="S24" i="69"/>
  <c r="S25" i="69"/>
  <c r="S10" i="69"/>
  <c r="S18" i="69"/>
  <c r="T11" i="69"/>
  <c r="T12" i="69"/>
  <c r="T13" i="69"/>
  <c r="T14" i="69"/>
  <c r="T15" i="69"/>
  <c r="T19" i="69"/>
  <c r="T20" i="69"/>
  <c r="T21" i="69"/>
  <c r="T22" i="69"/>
  <c r="T24" i="69"/>
  <c r="T25" i="69"/>
  <c r="T10" i="69"/>
  <c r="T18" i="69"/>
  <c r="P10" i="71"/>
  <c r="P11" i="71"/>
  <c r="P12" i="71"/>
  <c r="P13" i="71"/>
  <c r="P14" i="71"/>
  <c r="P15" i="71"/>
  <c r="P16" i="71"/>
  <c r="P20" i="71"/>
  <c r="P21" i="71"/>
  <c r="P22" i="71"/>
  <c r="P23" i="71"/>
  <c r="E88" i="76"/>
  <c r="Q10" i="71"/>
  <c r="Q11" i="71"/>
  <c r="Q12" i="71"/>
  <c r="Q13" i="71"/>
  <c r="Q14" i="71"/>
  <c r="Q15" i="71"/>
  <c r="Q16" i="71"/>
  <c r="Q20" i="71"/>
  <c r="Q21" i="71"/>
  <c r="Q22" i="71"/>
  <c r="Q23" i="71"/>
  <c r="R10" i="71"/>
  <c r="R11" i="71"/>
  <c r="R12" i="71"/>
  <c r="R13" i="71"/>
  <c r="R14" i="71"/>
  <c r="R15" i="71"/>
  <c r="R16" i="71"/>
  <c r="R20" i="71"/>
  <c r="R21" i="71"/>
  <c r="R22" i="71"/>
  <c r="R23" i="71"/>
  <c r="S10" i="71"/>
  <c r="S11" i="71"/>
  <c r="S12" i="71"/>
  <c r="S13" i="71"/>
  <c r="S14" i="71"/>
  <c r="S15" i="71"/>
  <c r="S16" i="71"/>
  <c r="S20" i="71"/>
  <c r="S21" i="71"/>
  <c r="S22" i="71"/>
  <c r="S23" i="71"/>
  <c r="T10" i="71"/>
  <c r="T11" i="71"/>
  <c r="T12" i="71"/>
  <c r="T13" i="71"/>
  <c r="T14" i="71"/>
  <c r="T15" i="71"/>
  <c r="T16" i="71"/>
  <c r="T20" i="71"/>
  <c r="T21" i="71"/>
  <c r="T22" i="71"/>
  <c r="T23" i="71"/>
  <c r="A2" i="76"/>
  <c r="A1" i="76"/>
  <c r="A5" i="71"/>
  <c r="A5" i="69"/>
  <c r="P28" i="69"/>
  <c r="P29" i="69"/>
  <c r="P30" i="69"/>
  <c r="P31" i="69"/>
  <c r="E14" i="74"/>
  <c r="F14" i="74"/>
  <c r="G14" i="74"/>
  <c r="H14" i="74"/>
  <c r="Q28" i="69"/>
  <c r="Q29" i="69"/>
  <c r="Q30" i="69"/>
  <c r="Q31" i="69"/>
  <c r="R28" i="69"/>
  <c r="R29" i="69"/>
  <c r="R30" i="69"/>
  <c r="R31" i="69"/>
  <c r="S28" i="69"/>
  <c r="S29" i="69"/>
  <c r="S30" i="69"/>
  <c r="S31" i="69"/>
  <c r="T28" i="69"/>
  <c r="T29" i="69"/>
  <c r="T30" i="69"/>
  <c r="T31" i="69"/>
  <c r="C46" i="69"/>
  <c r="P19" i="71"/>
  <c r="P26" i="71"/>
  <c r="P29" i="71"/>
  <c r="Q19" i="71"/>
  <c r="Q26" i="71"/>
  <c r="Q29" i="71"/>
  <c r="R19" i="71"/>
  <c r="R26" i="71"/>
  <c r="R29" i="71"/>
  <c r="S19" i="71"/>
  <c r="S26" i="71"/>
  <c r="S29" i="71"/>
  <c r="T19" i="71"/>
  <c r="T26" i="71"/>
  <c r="T29" i="71"/>
  <c r="C44" i="71"/>
  <c r="D13" i="70"/>
  <c r="D12" i="70"/>
  <c r="D11" i="70"/>
  <c r="D22" i="70"/>
  <c r="D21" i="70"/>
  <c r="D20" i="70"/>
  <c r="T32" i="69"/>
  <c r="S32" i="69"/>
  <c r="R32" i="69"/>
  <c r="Q32" i="69"/>
  <c r="P32" i="69"/>
  <c r="T30" i="71"/>
  <c r="S30" i="71"/>
  <c r="R30" i="71"/>
  <c r="Q30" i="71"/>
  <c r="P30" i="71"/>
  <c r="G10" i="72"/>
  <c r="H10" i="72"/>
  <c r="J10" i="72"/>
  <c r="K10" i="72"/>
  <c r="M10" i="72"/>
  <c r="N10" i="72"/>
  <c r="P10" i="72"/>
  <c r="Q10" i="72"/>
  <c r="S10" i="72"/>
  <c r="T10" i="72"/>
  <c r="V10" i="72"/>
  <c r="W10" i="72"/>
  <c r="X10" i="72"/>
  <c r="Y10" i="72"/>
  <c r="Z10" i="72"/>
  <c r="G19" i="70"/>
  <c r="H19" i="70"/>
  <c r="I19" i="70"/>
  <c r="J19" i="70"/>
  <c r="F19" i="70"/>
  <c r="C41" i="71"/>
  <c r="C40" i="71"/>
  <c r="C43" i="69"/>
  <c r="C42" i="69"/>
  <c r="A2" i="71"/>
  <c r="A1" i="71"/>
  <c r="A2" i="69"/>
  <c r="A1" i="69"/>
  <c r="A2" i="72"/>
  <c r="A1" i="72"/>
  <c r="A2" i="70"/>
  <c r="A1" i="70"/>
  <c r="D5" i="72"/>
  <c r="A11" i="71"/>
  <c r="A10" i="71"/>
  <c r="A12" i="71"/>
  <c r="A13" i="71"/>
  <c r="A14" i="71"/>
  <c r="A17" i="71"/>
  <c r="A19" i="71"/>
  <c r="A26" i="71"/>
  <c r="R39" i="71"/>
  <c r="R35" i="71"/>
  <c r="R34" i="71"/>
  <c r="R38" i="71"/>
  <c r="R37" i="71"/>
  <c r="R36" i="71"/>
  <c r="Q40" i="69"/>
  <c r="Q39" i="69"/>
  <c r="Q36" i="69"/>
  <c r="Q38" i="69"/>
  <c r="Q41" i="69"/>
  <c r="Q37" i="69"/>
  <c r="S38" i="71"/>
  <c r="S37" i="71"/>
  <c r="S34" i="71"/>
  <c r="S36" i="71"/>
  <c r="S39" i="71"/>
  <c r="S35" i="71"/>
  <c r="T41" i="69"/>
  <c r="T37" i="69"/>
  <c r="T36" i="69"/>
  <c r="T40" i="69"/>
  <c r="T39" i="69"/>
  <c r="T38" i="69"/>
  <c r="T37" i="71"/>
  <c r="T36" i="71"/>
  <c r="T39" i="71"/>
  <c r="T35" i="71"/>
  <c r="T34" i="71"/>
  <c r="T38" i="71"/>
  <c r="T40" i="71"/>
  <c r="T42" i="71"/>
  <c r="S38" i="69"/>
  <c r="S41" i="69"/>
  <c r="S37" i="69"/>
  <c r="S40" i="69"/>
  <c r="S39" i="69"/>
  <c r="S36" i="69"/>
  <c r="P41" i="69"/>
  <c r="P37" i="69"/>
  <c r="P40" i="69"/>
  <c r="P36" i="69"/>
  <c r="P38" i="69"/>
  <c r="P39" i="69"/>
  <c r="P42" i="69"/>
  <c r="Q36" i="71"/>
  <c r="Q39" i="71"/>
  <c r="Q35" i="71"/>
  <c r="Q38" i="71"/>
  <c r="Q37" i="71"/>
  <c r="Q34" i="71"/>
  <c r="P37" i="71"/>
  <c r="P36" i="71"/>
  <c r="P39" i="71"/>
  <c r="P35" i="71"/>
  <c r="P38" i="71"/>
  <c r="P34" i="71"/>
  <c r="R39" i="69"/>
  <c r="R38" i="69"/>
  <c r="R41" i="69"/>
  <c r="R37" i="69"/>
  <c r="R36" i="69"/>
  <c r="R40" i="69"/>
  <c r="I14" i="74"/>
  <c r="J14" i="74"/>
  <c r="B18" i="74"/>
  <c r="S42" i="69"/>
  <c r="S43" i="69"/>
  <c r="F109" i="76"/>
  <c r="P43" i="69"/>
  <c r="E94" i="76"/>
  <c r="T42" i="69"/>
  <c r="T44" i="69"/>
  <c r="F88" i="76"/>
  <c r="R40" i="71"/>
  <c r="R41" i="71"/>
  <c r="G73" i="76"/>
  <c r="Q40" i="71"/>
  <c r="Q41" i="71"/>
  <c r="F73" i="76"/>
  <c r="P40" i="71"/>
  <c r="S40" i="71"/>
  <c r="S41" i="71"/>
  <c r="H73" i="76"/>
  <c r="T41" i="71"/>
  <c r="R42" i="69"/>
  <c r="R43" i="69"/>
  <c r="P44" i="69"/>
  <c r="Q42" i="69"/>
  <c r="T43" i="69"/>
  <c r="I94" i="76"/>
  <c r="N94" i="76"/>
  <c r="S44" i="69"/>
  <c r="R42" i="71"/>
  <c r="Q42" i="71"/>
  <c r="S42" i="71"/>
  <c r="P42" i="71"/>
  <c r="P41" i="71"/>
  <c r="D44" i="71"/>
  <c r="I73" i="76"/>
  <c r="I87" i="76"/>
  <c r="F87" i="76"/>
  <c r="F89" i="76"/>
  <c r="K73" i="76"/>
  <c r="G87" i="76"/>
  <c r="L73" i="76"/>
  <c r="H87" i="76"/>
  <c r="M73" i="76"/>
  <c r="R44" i="69"/>
  <c r="H94" i="76"/>
  <c r="M94" i="76"/>
  <c r="Q43" i="69"/>
  <c r="Q44" i="69"/>
  <c r="J94" i="76"/>
  <c r="E108" i="76"/>
  <c r="E110" i="76"/>
  <c r="G94" i="76"/>
  <c r="I108" i="76"/>
  <c r="D46" i="69"/>
  <c r="H108" i="76"/>
  <c r="V44" i="69"/>
  <c r="V3" i="69"/>
  <c r="N73" i="76"/>
  <c r="N77" i="76"/>
  <c r="N78" i="76"/>
  <c r="V42" i="71"/>
  <c r="V3" i="71"/>
  <c r="E73" i="76"/>
  <c r="K87" i="76"/>
  <c r="M87" i="76"/>
  <c r="L87" i="76"/>
  <c r="F94" i="76"/>
  <c r="N108" i="76"/>
  <c r="N98" i="76"/>
  <c r="N99" i="76"/>
  <c r="L94" i="76"/>
  <c r="G108" i="76"/>
  <c r="M108" i="76"/>
  <c r="M98" i="76"/>
  <c r="M99" i="76"/>
  <c r="J108" i="76"/>
  <c r="K77" i="76"/>
  <c r="K78" i="76"/>
  <c r="D6" i="72"/>
  <c r="D7" i="70"/>
  <c r="L77" i="76"/>
  <c r="L78" i="76"/>
  <c r="M77" i="76"/>
  <c r="M78" i="76"/>
  <c r="N87" i="76"/>
  <c r="E87" i="76"/>
  <c r="E89" i="76"/>
  <c r="J73" i="76"/>
  <c r="F108" i="76"/>
  <c r="F110" i="76"/>
  <c r="K94" i="76"/>
  <c r="K98" i="76"/>
  <c r="K99" i="76"/>
  <c r="L108" i="76"/>
  <c r="L98" i="76"/>
  <c r="L99" i="76"/>
  <c r="I98" i="76"/>
  <c r="I99" i="76"/>
  <c r="F98" i="76"/>
  <c r="F99" i="76"/>
  <c r="H98" i="76"/>
  <c r="H99" i="76"/>
  <c r="J87" i="76"/>
  <c r="G77" i="76"/>
  <c r="G78" i="76"/>
  <c r="I77" i="76"/>
  <c r="I78" i="76"/>
  <c r="F77" i="76"/>
  <c r="F78" i="76"/>
  <c r="J77" i="76"/>
  <c r="J78" i="76"/>
  <c r="E77" i="76"/>
  <c r="E78" i="76"/>
  <c r="H77" i="76"/>
  <c r="H78" i="76"/>
  <c r="E98" i="76"/>
  <c r="E99" i="76"/>
  <c r="J98" i="76"/>
  <c r="J99" i="76"/>
  <c r="G98" i="76"/>
  <c r="G99" i="76"/>
  <c r="K108" i="76"/>
  <c r="E100" i="76"/>
  <c r="E102" i="76"/>
  <c r="E79" i="76"/>
  <c r="E81" i="76"/>
  <c r="F102" i="76"/>
  <c r="G102" i="76"/>
  <c r="F81" i="76"/>
  <c r="H102" i="76"/>
  <c r="G81" i="76"/>
  <c r="I102" i="76"/>
  <c r="J102" i="76"/>
  <c r="H81" i="76"/>
  <c r="I81" i="76"/>
  <c r="K102" i="76"/>
  <c r="J81" i="76"/>
  <c r="L102" i="76"/>
  <c r="K81" i="76"/>
  <c r="M102" i="76"/>
  <c r="L81" i="76"/>
  <c r="N102" i="76"/>
  <c r="M81" i="76"/>
  <c r="N81" i="76"/>
  <c r="F22" i="70"/>
  <c r="I21" i="70"/>
  <c r="J22" i="70"/>
  <c r="I11" i="70"/>
  <c r="G22" i="70"/>
  <c r="F13" i="70"/>
  <c r="F12" i="70"/>
  <c r="I12" i="70"/>
  <c r="F20" i="70"/>
  <c r="J11" i="70"/>
  <c r="J13" i="70"/>
  <c r="G21" i="70"/>
  <c r="J12" i="70"/>
  <c r="G12" i="70"/>
  <c r="H12" i="70"/>
  <c r="H21" i="70"/>
  <c r="J21" i="70"/>
  <c r="G13" i="70"/>
  <c r="H22" i="70"/>
  <c r="H20" i="70"/>
  <c r="J20" i="70"/>
  <c r="I13" i="70"/>
  <c r="F21" i="70"/>
  <c r="I20" i="70"/>
  <c r="G11" i="70"/>
  <c r="F11" i="70"/>
  <c r="H11" i="70"/>
  <c r="G20" i="70"/>
  <c r="I22" i="70"/>
  <c r="H13" i="70"/>
  <c r="G96" i="76" l="1"/>
  <c r="G109" i="76" s="1"/>
  <c r="G110" i="76" s="1"/>
  <c r="H75" i="76"/>
  <c r="H88" i="76" s="1"/>
  <c r="H89" i="76" s="1"/>
  <c r="I75" i="76"/>
  <c r="H96" i="76"/>
  <c r="H109" i="76" s="1"/>
  <c r="H110" i="76" s="1"/>
  <c r="I96" i="76"/>
  <c r="G75" i="76"/>
  <c r="G88" i="76" s="1"/>
  <c r="G89" i="76" s="1"/>
  <c r="F14" i="70"/>
  <c r="G14" i="70"/>
  <c r="S12" i="72"/>
  <c r="Q12" i="72"/>
  <c r="I23" i="70"/>
  <c r="O12" i="72"/>
  <c r="M12" i="72"/>
  <c r="K12" i="72"/>
  <c r="G23" i="70"/>
  <c r="I12" i="72"/>
  <c r="G12" i="72"/>
  <c r="I14" i="70"/>
  <c r="J14" i="70"/>
  <c r="T12" i="72"/>
  <c r="H14" i="70"/>
  <c r="J23" i="70"/>
  <c r="R12" i="72"/>
  <c r="P12" i="72"/>
  <c r="N12" i="72"/>
  <c r="L12" i="72"/>
  <c r="H23" i="70"/>
  <c r="J12" i="72"/>
  <c r="H12" i="72"/>
  <c r="F12" i="72"/>
  <c r="F23" i="70"/>
  <c r="I88" i="76" l="1"/>
  <c r="I89" i="76" s="1"/>
  <c r="J75" i="76"/>
  <c r="J88" i="76" s="1"/>
  <c r="J89" i="76" s="1"/>
  <c r="K75" i="76"/>
  <c r="E82" i="76"/>
  <c r="K96" i="76"/>
  <c r="J96" i="76"/>
  <c r="J109" i="76" s="1"/>
  <c r="J110" i="76" s="1"/>
  <c r="I109" i="76"/>
  <c r="I110" i="76" s="1"/>
  <c r="E103" i="76"/>
  <c r="V12" i="72"/>
  <c r="X12" i="72"/>
  <c r="W12" i="72"/>
  <c r="Y12" i="72"/>
  <c r="F25" i="70"/>
  <c r="Z12" i="72"/>
  <c r="F16" i="70"/>
  <c r="L75" i="76" l="1"/>
  <c r="K88" i="76"/>
  <c r="K89" i="76" s="1"/>
  <c r="L96" i="76"/>
  <c r="K109" i="76"/>
  <c r="K110" i="76" s="1"/>
  <c r="F103" i="76"/>
  <c r="E104" i="76"/>
  <c r="E83" i="76"/>
  <c r="F82" i="76"/>
  <c r="AB12" i="72"/>
  <c r="L88" i="76" l="1"/>
  <c r="L89" i="76" s="1"/>
  <c r="M75" i="76"/>
  <c r="M96" i="76"/>
  <c r="L109" i="76"/>
  <c r="L110" i="76" s="1"/>
  <c r="F104" i="76"/>
  <c r="G103" i="76"/>
  <c r="F83" i="76"/>
  <c r="G82" i="76"/>
  <c r="G104" i="76" l="1"/>
  <c r="H103" i="76"/>
  <c r="N75" i="76"/>
  <c r="N88" i="76" s="1"/>
  <c r="N89" i="76" s="1"/>
  <c r="M88" i="76"/>
  <c r="M89" i="76" s="1"/>
  <c r="G83" i="76"/>
  <c r="H82" i="76"/>
  <c r="N96" i="76"/>
  <c r="N109" i="76" s="1"/>
  <c r="N110" i="76" s="1"/>
  <c r="E112" i="76" s="1"/>
  <c r="M109" i="76"/>
  <c r="M110" i="76" s="1"/>
  <c r="E91" i="76"/>
  <c r="I103" i="76" l="1"/>
  <c r="H104" i="76"/>
  <c r="I82" i="76"/>
  <c r="H83" i="76"/>
  <c r="J103" i="76" l="1"/>
  <c r="I104" i="76"/>
  <c r="I83" i="76"/>
  <c r="J82" i="76"/>
  <c r="J104" i="76" l="1"/>
  <c r="K103" i="76"/>
  <c r="J83" i="76"/>
  <c r="K82" i="76"/>
  <c r="K83" i="76" l="1"/>
  <c r="L82" i="76"/>
  <c r="K104" i="76"/>
  <c r="L103" i="76"/>
  <c r="L104" i="76" l="1"/>
  <c r="M103" i="76"/>
  <c r="M82" i="76"/>
  <c r="L83" i="76"/>
  <c r="M83" i="76" l="1"/>
  <c r="N82" i="76"/>
  <c r="N83" i="76" s="1"/>
  <c r="M104" i="76"/>
  <c r="N103" i="76"/>
  <c r="N104" i="76" s="1"/>
</calcChain>
</file>

<file path=xl/sharedStrings.xml><?xml version="1.0" encoding="utf-8"?>
<sst xmlns="http://schemas.openxmlformats.org/spreadsheetml/2006/main" count="426" uniqueCount="159">
  <si>
    <t>Materials</t>
  </si>
  <si>
    <t>Labour</t>
  </si>
  <si>
    <t>Assumptions</t>
  </si>
  <si>
    <t>Contracts</t>
  </si>
  <si>
    <t>CapEx</t>
  </si>
  <si>
    <t>Parameters</t>
  </si>
  <si>
    <t>Area Applied</t>
  </si>
  <si>
    <t>Assumption Types</t>
  </si>
  <si>
    <t>Type</t>
  </si>
  <si>
    <t>Units</t>
  </si>
  <si>
    <t>Cost ($)</t>
  </si>
  <si>
    <t>Check</t>
  </si>
  <si>
    <t>Summary</t>
  </si>
  <si>
    <t>Real Discount rate:</t>
  </si>
  <si>
    <t>Unit rate</t>
  </si>
  <si>
    <t>2021/22</t>
  </si>
  <si>
    <t>2022/23</t>
  </si>
  <si>
    <t>2023/24</t>
  </si>
  <si>
    <t>2024/25</t>
  </si>
  <si>
    <t>2025/26</t>
  </si>
  <si>
    <t>Option 2</t>
  </si>
  <si>
    <t>Preferred option:</t>
  </si>
  <si>
    <t>Capex/Opex</t>
  </si>
  <si>
    <t>Selected option:</t>
  </si>
  <si>
    <t>Total</t>
  </si>
  <si>
    <t>Function Code</t>
  </si>
  <si>
    <t>Service</t>
  </si>
  <si>
    <t>Total SCS</t>
  </si>
  <si>
    <t>Option 1</t>
  </si>
  <si>
    <t>Actual</t>
  </si>
  <si>
    <t>Forecast</t>
  </si>
  <si>
    <t>Cumulative CPI from 2015</t>
  </si>
  <si>
    <t>Multiply by:</t>
  </si>
  <si>
    <t>To:</t>
  </si>
  <si>
    <t>Cost inputs are in:</t>
  </si>
  <si>
    <t>2020/21</t>
  </si>
  <si>
    <t>To convert from nominal:</t>
  </si>
  <si>
    <t>dollars (mid year)</t>
  </si>
  <si>
    <t>dollars (end of FY)</t>
  </si>
  <si>
    <t>Checks OK</t>
  </si>
  <si>
    <t>OpEx</t>
  </si>
  <si>
    <t>Hours</t>
  </si>
  <si>
    <t>Each</t>
  </si>
  <si>
    <t>$</t>
  </si>
  <si>
    <t>Quantity of units</t>
  </si>
  <si>
    <t>Description</t>
  </si>
  <si>
    <t>Output ($, 2020/21)</t>
  </si>
  <si>
    <t>Forecast direct capex ($'000, 2020/21)</t>
  </si>
  <si>
    <t>Summary ($, 2020/21)</t>
  </si>
  <si>
    <t>Total Cost ($, 2020/21)</t>
  </si>
  <si>
    <t>NPV of net economic benefit of option 2</t>
  </si>
  <si>
    <t>Benfit</t>
  </si>
  <si>
    <t>Spend</t>
  </si>
  <si>
    <t>NPV method</t>
  </si>
  <si>
    <t>Net cash flow</t>
  </si>
  <si>
    <t>Benefit stream</t>
  </si>
  <si>
    <t>Capex annuity (equivalised annual capex)</t>
  </si>
  <si>
    <t>Capex</t>
  </si>
  <si>
    <t>Real WACC, reverse index</t>
  </si>
  <si>
    <t>Years of capex</t>
  </si>
  <si>
    <t>$'2021</t>
  </si>
  <si>
    <t>Operating efficiencies</t>
  </si>
  <si>
    <t>Value of customer time saved</t>
  </si>
  <si>
    <t>Total cost</t>
  </si>
  <si>
    <t>NPV</t>
  </si>
  <si>
    <t>Depreciation years</t>
  </si>
  <si>
    <t>Cost benefit analysis</t>
  </si>
  <si>
    <t>$'2019</t>
  </si>
  <si>
    <t>number</t>
  </si>
  <si>
    <t>minutes</t>
  </si>
  <si>
    <t>Operational benefits</t>
  </si>
  <si>
    <t>percentage</t>
  </si>
  <si>
    <t>Average value of one minute of time for the average customer</t>
  </si>
  <si>
    <t>Value of one mintue of time for all business customers</t>
  </si>
  <si>
    <t>Average income per business</t>
  </si>
  <si>
    <t>https://www.abs.gov.au/AUSSTATS/abs@.nsf/DetailsPage/8165.0June%202014%20to%20June%202018?OpenDocument</t>
  </si>
  <si>
    <t>Number of businesses in Victoria, 2017-18, ABS</t>
  </si>
  <si>
    <t>https://www.abs.gov.au/AUSSTATS/abs@.nsf/DetailsPage/5676.0Mar%202019?OpenDocument</t>
  </si>
  <si>
    <t>Income from sales of goods and services, ABS, Victoria, Mar 2019</t>
  </si>
  <si>
    <t>https://www.inc.com/jim-belosic/how-to-calculate-the-value-of-your-and-your-employees-time.html</t>
  </si>
  <si>
    <t>Value of time for average commercial customer</t>
  </si>
  <si>
    <t>Value of one minute of one customer's time</t>
  </si>
  <si>
    <t>$'2018</t>
  </si>
  <si>
    <t>Average wage per minute</t>
  </si>
  <si>
    <t>https://www.abs.gov.au/ausstats/abs@.nsf/mf/6302.0?opendocument&amp;ref=HPKI</t>
  </si>
  <si>
    <t>Average weekly earnings, Victoria, ABS, Nov 2018</t>
  </si>
  <si>
    <t>Value of time for average residential customer</t>
  </si>
  <si>
    <t>Customer time value of money and benefits</t>
  </si>
  <si>
    <t>Option</t>
  </si>
  <si>
    <t>Source</t>
  </si>
  <si>
    <t>Average customers 2021 - 2026</t>
  </si>
  <si>
    <t>Residential customers</t>
  </si>
  <si>
    <t>ave #</t>
  </si>
  <si>
    <t>Business and Commercial customers</t>
  </si>
  <si>
    <t>Total customers</t>
  </si>
  <si>
    <t>Customer time saved:</t>
  </si>
  <si>
    <t>2021-26</t>
  </si>
  <si>
    <t>Cash flow</t>
  </si>
  <si>
    <t>2026/27</t>
  </si>
  <si>
    <t>2027/28</t>
  </si>
  <si>
    <t>2028/29</t>
  </si>
  <si>
    <t>2029/30</t>
  </si>
  <si>
    <t>2030/31</t>
  </si>
  <si>
    <t>Intelligent Engineering</t>
  </si>
  <si>
    <t>Conflation - Geospatial alignment (Project Management and Delivery)</t>
  </si>
  <si>
    <t>Conflation - Foundation (Project Management and Delivery)</t>
  </si>
  <si>
    <t>Master Data Management - Common Data Environment (Project Management and Delivery)</t>
  </si>
  <si>
    <t>Master Data Management - eConnect Address Matching (Project Management and Delivery)</t>
  </si>
  <si>
    <t>Map Insights extension (Project Management and Delivery)</t>
  </si>
  <si>
    <t>Conflation - Foundation (Hardware and Software)</t>
  </si>
  <si>
    <t>Master Data Management - Common Data Environment (Hardware and Software)</t>
  </si>
  <si>
    <t>Conflation - Geospatial alignment (Geospatial Project Services)</t>
  </si>
  <si>
    <t>Conflation - Foundation (Vendor Project Services)</t>
  </si>
  <si>
    <t>Master Data Management - GIS to SAP integration (Vendor external project services)</t>
  </si>
  <si>
    <t>Dial Before You Dig - On-device map display (Project Management and Delivery)</t>
  </si>
  <si>
    <t>Dial Before You Dig - On-device map display (Hardware and Software)</t>
  </si>
  <si>
    <t>Time saved from fewer delayed projects</t>
  </si>
  <si>
    <t>Total number of dial-before-you-dig (DBYD) appliactions</t>
  </si>
  <si>
    <t>Number of inspections related to DBYD applications</t>
  </si>
  <si>
    <t>Duration of an average inspection</t>
  </si>
  <si>
    <t>Number of incidents with damaged assets due to incorrect location of asset by worker</t>
  </si>
  <si>
    <t>Assumed % saving in number of incidents</t>
  </si>
  <si>
    <t>Average duration of ractification of problem</t>
  </si>
  <si>
    <t>Time saved from having DBYD application</t>
  </si>
  <si>
    <t>Average time required to fill out DBYD application</t>
  </si>
  <si>
    <t xml:space="preserve">Average time applicant waits for information </t>
  </si>
  <si>
    <t>Percentage of customers that would use the mobile application</t>
  </si>
  <si>
    <t>Time saved from having the DBYD application</t>
  </si>
  <si>
    <t>Total time saved from having the DBYD application</t>
  </si>
  <si>
    <t>Savings from internal data accuracy and design</t>
  </si>
  <si>
    <t>Number of supply customer request per year</t>
  </si>
  <si>
    <t>Number of minutes spent on design work related to customer supply requests</t>
  </si>
  <si>
    <t>Percentage improvement in time spent on asset management data queries</t>
  </si>
  <si>
    <t>Total savings in minutes spent on supply request</t>
  </si>
  <si>
    <t>Total number of working minutes per FTE per year</t>
  </si>
  <si>
    <t>Number of FTEs reduced due to better data management</t>
  </si>
  <si>
    <t>Total savings in FTEs</t>
  </si>
  <si>
    <t>Savings from fewer damaged assets</t>
  </si>
  <si>
    <t>Unit cost of site visit</t>
  </si>
  <si>
    <t>Number of avoided asset damages</t>
  </si>
  <si>
    <t>Average cost of ractification of site (repex)</t>
  </si>
  <si>
    <t>Total savings from asset damage avoidance</t>
  </si>
  <si>
    <t>Total time saved from fewer delayed projects</t>
  </si>
  <si>
    <t>VPN</t>
  </si>
  <si>
    <t>CP</t>
  </si>
  <si>
    <t>PAL</t>
  </si>
  <si>
    <t xml:space="preserve"> </t>
  </si>
  <si>
    <t>Total saving in operations</t>
  </si>
  <si>
    <t>Estimated reduction in number of inspections</t>
  </si>
  <si>
    <t>Dollars</t>
  </si>
  <si>
    <t>CPI</t>
  </si>
  <si>
    <t>Annual CPI - 12 months unlagged</t>
  </si>
  <si>
    <t>Savings from fewer inspections</t>
  </si>
  <si>
    <t>Number of avoided inspections</t>
  </si>
  <si>
    <t>Total savings from fewer inspections</t>
  </si>
  <si>
    <t>NPV of net economic benefit of option 1</t>
  </si>
  <si>
    <t>Mid CY</t>
  </si>
  <si>
    <t>End FY</t>
  </si>
  <si>
    <t>Average annual salary of administration staff, Hays 2019 guide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</si>
</sst>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0.0"/>
    <numFmt numFmtId="167" formatCode="&quot;$&quot;#,##0;[Red]\-&quot;$&quot;#,##0;\ &quot;-&quot;"/>
    <numFmt numFmtId="168" formatCode="&quot;$&quot;#,##0.00;[Red]\-&quot;$&quot;#,##0.00;\ &quot;-&quot;"/>
    <numFmt numFmtId="169" formatCode="#,##0_ ;[Red]\-#,##0;\ &quot;-&quot;"/>
    <numFmt numFmtId="170" formatCode="#,##0_ ;[Red]\-#,##0\ "/>
    <numFmt numFmtId="171" formatCode="&quot;Convert to December&quot;\ ####"/>
    <numFmt numFmtId="172" formatCode="0.00000000000000000"/>
    <numFmt numFmtId="173" formatCode="0.000000"/>
    <numFmt numFmtId="174" formatCode="_-&quot;$&quot;* #,##0_-;\-&quot;$&quot;* #,##0_-;_-&quot;$&quot;* &quot;-&quot;??_-;_-@_-"/>
    <numFmt numFmtId="175" formatCode="_-* #,##0_-;\-* #,##0_-;_-* &quot;-&quot;??_-;_-@_-"/>
    <numFmt numFmtId="176" formatCode="#,##0.00_ ;[Red]\-#,##0.00\ "/>
    <numFmt numFmtId="177" formatCode="0.000"/>
    <numFmt numFmtId="178" formatCode="0.0000"/>
  </numFmts>
  <fonts count="5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FFFFFF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Trebuchet MS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Verdana"/>
      <family val="2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12"/>
      <color theme="0"/>
      <name val="Calibri"/>
      <family val="2"/>
      <scheme val="minor"/>
    </font>
    <font>
      <b/>
      <i/>
      <sz val="10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indexed="9"/>
      <name val="Calibri"/>
      <family val="2"/>
      <scheme val="minor"/>
    </font>
    <font>
      <b/>
      <sz val="10"/>
      <color rgb="FF0000FF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</font>
    <font>
      <sz val="10"/>
      <color rgb="FF0066FF"/>
      <name val="Calibri"/>
      <family val="2"/>
    </font>
    <font>
      <i/>
      <sz val="10"/>
      <color theme="1"/>
      <name val="Calibri"/>
      <family val="2"/>
    </font>
    <font>
      <i/>
      <sz val="10"/>
      <color theme="1" tint="0.499984740745262"/>
      <name val="Calibri"/>
      <family val="2"/>
    </font>
    <font>
      <i/>
      <sz val="10"/>
      <name val="Calibri"/>
      <family val="2"/>
    </font>
    <font>
      <b/>
      <sz val="10"/>
      <color rgb="FFFFFFFF"/>
      <name val="Calibri"/>
      <family val="2"/>
      <scheme val="minor"/>
    </font>
    <font>
      <sz val="10"/>
      <name val="Calibri"/>
      <family val="2"/>
    </font>
    <font>
      <sz val="8"/>
      <color theme="0" tint="-0.499984740745262"/>
      <name val="Calibri"/>
      <family val="2"/>
      <scheme val="minor"/>
    </font>
    <font>
      <i/>
      <sz val="8"/>
      <color theme="0" tint="-0.499984740745262"/>
      <name val="Calibri"/>
      <family val="2"/>
      <scheme val="minor"/>
    </font>
    <font>
      <i/>
      <sz val="9"/>
      <color theme="0" tint="-0.499984740745262"/>
      <name val="Calibri"/>
      <family val="2"/>
      <scheme val="minor"/>
    </font>
    <font>
      <sz val="10"/>
      <color rgb="FF0000FF"/>
      <name val="Calibri"/>
      <family val="2"/>
    </font>
    <font>
      <i/>
      <sz val="10"/>
      <color rgb="FF0000FF"/>
      <name val="Calibri"/>
      <family val="2"/>
    </font>
    <font>
      <sz val="10"/>
      <color rgb="FF0000FF"/>
      <name val="Calibri"/>
      <family val="2"/>
      <scheme val="minor"/>
    </font>
    <font>
      <sz val="8"/>
      <name val="Calibri"/>
      <family val="2"/>
      <scheme val="minor"/>
    </font>
    <font>
      <sz val="9"/>
      <color theme="0" tint="-0.249977111117893"/>
      <name val="Calibri"/>
      <family val="2"/>
      <scheme val="minor"/>
    </font>
    <font>
      <i/>
      <sz val="8"/>
      <color theme="2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0"/>
      <color theme="10"/>
      <name val="Verdana"/>
      <family val="2"/>
    </font>
    <font>
      <b/>
      <i/>
      <sz val="16"/>
      <color rgb="FF000000"/>
      <name val="Arial"/>
      <family val="2"/>
    </font>
    <font>
      <u/>
      <sz val="11"/>
      <color theme="10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rgb="FF0033CC"/>
      <name val="Calibri"/>
      <family val="2"/>
      <scheme val="minor"/>
    </font>
    <font>
      <sz val="10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D6E5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BF2F9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ck">
        <color theme="0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2">
    <xf numFmtId="0" fontId="0" fillId="0" borderId="0"/>
    <xf numFmtId="0" fontId="4" fillId="0" borderId="0"/>
    <xf numFmtId="0" fontId="3" fillId="0" borderId="0"/>
    <xf numFmtId="0" fontId="5" fillId="0" borderId="0"/>
    <xf numFmtId="0" fontId="3" fillId="0" borderId="0"/>
    <xf numFmtId="44" fontId="5" fillId="0" borderId="0" applyFont="0" applyFill="0" applyBorder="0" applyAlignment="0" applyProtection="0"/>
    <xf numFmtId="0" fontId="1" fillId="0" borderId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7" fillId="0" borderId="0"/>
    <xf numFmtId="0" fontId="3" fillId="0" borderId="0"/>
    <xf numFmtId="0" fontId="8" fillId="0" borderId="0"/>
    <xf numFmtId="0" fontId="9" fillId="0" borderId="0"/>
    <xf numFmtId="0" fontId="10" fillId="0" borderId="0"/>
    <xf numFmtId="9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1" fillId="0" borderId="0"/>
    <xf numFmtId="44" fontId="11" fillId="0" borderId="0" applyFont="0" applyFill="0" applyBorder="0" applyAlignment="0" applyProtection="0"/>
    <xf numFmtId="0" fontId="10" fillId="0" borderId="0"/>
    <xf numFmtId="9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1" fillId="0" borderId="0" applyNumberFormat="0" applyFill="0" applyBorder="0" applyProtection="0">
      <alignment horizontal="center"/>
    </xf>
    <xf numFmtId="0" fontId="52" fillId="0" borderId="0" applyNumberFormat="0" applyFill="0" applyBorder="0" applyAlignment="0" applyProtection="0"/>
    <xf numFmtId="0" fontId="50" fillId="0" borderId="0" applyNumberFormat="0" applyFill="0" applyBorder="0" applyAlignment="0" applyProtection="0"/>
  </cellStyleXfs>
  <cellXfs count="166">
    <xf numFmtId="0" fontId="0" fillId="0" borderId="0" xfId="0"/>
    <xf numFmtId="0" fontId="12" fillId="0" borderId="0" xfId="0" applyFont="1"/>
    <xf numFmtId="0" fontId="12" fillId="0" borderId="0" xfId="0" applyFont="1" applyFill="1"/>
    <xf numFmtId="3" fontId="12" fillId="0" borderId="0" xfId="0" applyNumberFormat="1" applyFont="1"/>
    <xf numFmtId="0" fontId="12" fillId="0" borderId="0" xfId="0" applyFont="1" applyBorder="1"/>
    <xf numFmtId="0" fontId="13" fillId="0" borderId="3" xfId="0" applyFont="1" applyBorder="1"/>
    <xf numFmtId="0" fontId="12" fillId="0" borderId="0" xfId="0" applyFont="1" applyBorder="1" applyAlignment="1">
      <alignment horizontal="right"/>
    </xf>
    <xf numFmtId="0" fontId="13" fillId="0" borderId="0" xfId="0" applyFont="1" applyBorder="1"/>
    <xf numFmtId="167" fontId="12" fillId="0" borderId="1" xfId="0" applyNumberFormat="1" applyFont="1" applyFill="1" applyBorder="1" applyAlignment="1">
      <alignment horizontal="right" vertical="top"/>
    </xf>
    <xf numFmtId="167" fontId="12" fillId="0" borderId="0" xfId="0" applyNumberFormat="1" applyFont="1" applyFill="1" applyBorder="1" applyAlignment="1">
      <alignment horizontal="right" vertical="top"/>
    </xf>
    <xf numFmtId="0" fontId="13" fillId="0" borderId="4" xfId="0" applyFont="1" applyBorder="1"/>
    <xf numFmtId="167" fontId="13" fillId="0" borderId="4" xfId="0" applyNumberFormat="1" applyFont="1" applyFill="1" applyBorder="1" applyAlignment="1">
      <alignment horizontal="right" vertical="top"/>
    </xf>
    <xf numFmtId="0" fontId="12" fillId="0" borderId="0" xfId="0" applyFont="1" applyAlignment="1">
      <alignment horizontal="center"/>
    </xf>
    <xf numFmtId="0" fontId="12" fillId="0" borderId="0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4" fillId="3" borderId="0" xfId="0" applyFont="1" applyFill="1"/>
    <xf numFmtId="0" fontId="14" fillId="3" borderId="0" xfId="0" applyFont="1" applyFill="1" applyAlignment="1">
      <alignment horizontal="center"/>
    </xf>
    <xf numFmtId="0" fontId="15" fillId="3" borderId="0" xfId="0" applyFont="1" applyFill="1"/>
    <xf numFmtId="0" fontId="16" fillId="3" borderId="0" xfId="0" applyFont="1" applyFill="1"/>
    <xf numFmtId="0" fontId="15" fillId="0" borderId="0" xfId="0" applyFont="1" applyFill="1"/>
    <xf numFmtId="0" fontId="14" fillId="0" borderId="0" xfId="0" applyFont="1" applyFill="1"/>
    <xf numFmtId="0" fontId="14" fillId="0" borderId="0" xfId="0" applyFont="1" applyFill="1" applyAlignment="1">
      <alignment horizontal="center"/>
    </xf>
    <xf numFmtId="0" fontId="17" fillId="0" borderId="0" xfId="0" applyFont="1"/>
    <xf numFmtId="0" fontId="13" fillId="4" borderId="2" xfId="0" applyFont="1" applyFill="1" applyBorder="1" applyAlignment="1">
      <alignment horizontal="centerContinuous"/>
    </xf>
    <xf numFmtId="0" fontId="12" fillId="4" borderId="2" xfId="0" applyFont="1" applyFill="1" applyBorder="1" applyAlignment="1">
      <alignment horizontal="centerContinuous"/>
    </xf>
    <xf numFmtId="0" fontId="13" fillId="0" borderId="5" xfId="0" applyFont="1" applyBorder="1"/>
    <xf numFmtId="167" fontId="13" fillId="0" borderId="5" xfId="0" applyNumberFormat="1" applyFont="1" applyFill="1" applyBorder="1" applyAlignment="1">
      <alignment horizontal="right" vertical="top"/>
    </xf>
    <xf numFmtId="167" fontId="13" fillId="0" borderId="0" xfId="0" applyNumberFormat="1" applyFont="1" applyFill="1" applyBorder="1" applyAlignment="1">
      <alignment horizontal="right" vertical="top"/>
    </xf>
    <xf numFmtId="0" fontId="12" fillId="0" borderId="2" xfId="0" applyFont="1" applyBorder="1"/>
    <xf numFmtId="0" fontId="12" fillId="0" borderId="2" xfId="0" applyFont="1" applyBorder="1" applyAlignment="1">
      <alignment horizontal="center"/>
    </xf>
    <xf numFmtId="167" fontId="12" fillId="0" borderId="2" xfId="0" applyNumberFormat="1" applyFont="1" applyFill="1" applyBorder="1" applyAlignment="1">
      <alignment horizontal="right" vertical="top"/>
    </xf>
    <xf numFmtId="0" fontId="13" fillId="0" borderId="0" xfId="0" applyFont="1" applyBorder="1" applyAlignment="1">
      <alignment horizontal="center"/>
    </xf>
    <xf numFmtId="0" fontId="18" fillId="0" borderId="0" xfId="0" applyFont="1"/>
    <xf numFmtId="0" fontId="2" fillId="0" borderId="0" xfId="13" applyFont="1" applyFill="1" applyAlignment="1">
      <alignment horizontal="left" vertical="center"/>
    </xf>
    <xf numFmtId="0" fontId="0" fillId="0" borderId="0" xfId="0" applyFill="1"/>
    <xf numFmtId="0" fontId="19" fillId="3" borderId="0" xfId="0" applyFont="1" applyFill="1"/>
    <xf numFmtId="0" fontId="20" fillId="3" borderId="0" xfId="0" applyFont="1" applyFill="1"/>
    <xf numFmtId="0" fontId="21" fillId="3" borderId="0" xfId="0" applyFont="1" applyFill="1"/>
    <xf numFmtId="0" fontId="21" fillId="3" borderId="0" xfId="0" applyFont="1" applyFill="1" applyAlignment="1">
      <alignment horizontal="center"/>
    </xf>
    <xf numFmtId="0" fontId="22" fillId="0" borderId="0" xfId="0" applyFont="1"/>
    <xf numFmtId="6" fontId="13" fillId="0" borderId="0" xfId="0" applyNumberFormat="1" applyFont="1"/>
    <xf numFmtId="8" fontId="13" fillId="0" borderId="0" xfId="0" applyNumberFormat="1" applyFont="1" applyBorder="1"/>
    <xf numFmtId="0" fontId="13" fillId="0" borderId="0" xfId="0" applyFont="1" applyFill="1"/>
    <xf numFmtId="0" fontId="13" fillId="5" borderId="1" xfId="0" applyFont="1" applyFill="1" applyBorder="1"/>
    <xf numFmtId="167" fontId="12" fillId="0" borderId="0" xfId="0" applyNumberFormat="1" applyFont="1" applyFill="1"/>
    <xf numFmtId="6" fontId="12" fillId="0" borderId="2" xfId="0" applyNumberFormat="1" applyFont="1" applyFill="1" applyBorder="1" applyAlignment="1">
      <alignment horizontal="right" vertical="top"/>
    </xf>
    <xf numFmtId="0" fontId="23" fillId="3" borderId="0" xfId="0" applyFont="1" applyFill="1"/>
    <xf numFmtId="0" fontId="23" fillId="3" borderId="0" xfId="0" applyFont="1" applyFill="1" applyAlignment="1">
      <alignment horizontal="center"/>
    </xf>
    <xf numFmtId="0" fontId="24" fillId="0" borderId="0" xfId="0" applyFont="1"/>
    <xf numFmtId="0" fontId="25" fillId="3" borderId="0" xfId="0" applyFont="1" applyFill="1"/>
    <xf numFmtId="0" fontId="25" fillId="3" borderId="0" xfId="0" applyFont="1" applyFill="1" applyAlignment="1">
      <alignment horizontal="center"/>
    </xf>
    <xf numFmtId="0" fontId="26" fillId="0" borderId="0" xfId="0" applyFont="1"/>
    <xf numFmtId="0" fontId="27" fillId="6" borderId="0" xfId="14" applyFont="1" applyFill="1" applyAlignment="1" applyProtection="1"/>
    <xf numFmtId="0" fontId="27" fillId="6" borderId="0" xfId="14" applyFont="1" applyFill="1" applyProtection="1"/>
    <xf numFmtId="0" fontId="27" fillId="6" borderId="0" xfId="14" applyFont="1" applyFill="1" applyAlignment="1" applyProtection="1">
      <alignment textRotation="2"/>
    </xf>
    <xf numFmtId="0" fontId="27" fillId="6" borderId="0" xfId="14" applyFont="1" applyFill="1" applyBorder="1" applyAlignment="1" applyProtection="1">
      <alignment textRotation="2"/>
    </xf>
    <xf numFmtId="0" fontId="28" fillId="7" borderId="0" xfId="14" applyFont="1" applyFill="1" applyAlignment="1" applyProtection="1"/>
    <xf numFmtId="0" fontId="29" fillId="6" borderId="0" xfId="14" applyFont="1" applyFill="1" applyAlignment="1" applyProtection="1"/>
    <xf numFmtId="0" fontId="29" fillId="6" borderId="0" xfId="14" applyFont="1" applyFill="1" applyProtection="1"/>
    <xf numFmtId="0" fontId="29" fillId="5" borderId="0" xfId="14" applyFont="1" applyFill="1" applyAlignment="1" applyProtection="1"/>
    <xf numFmtId="0" fontId="30" fillId="6" borderId="0" xfId="14" applyFont="1" applyFill="1" applyAlignment="1" applyProtection="1">
      <alignment textRotation="2"/>
    </xf>
    <xf numFmtId="0" fontId="30" fillId="6" borderId="0" xfId="14" applyFont="1" applyFill="1" applyProtection="1"/>
    <xf numFmtId="0" fontId="30" fillId="6" borderId="0" xfId="14" applyFont="1" applyFill="1" applyBorder="1" applyAlignment="1" applyProtection="1">
      <alignment textRotation="2"/>
    </xf>
    <xf numFmtId="0" fontId="30" fillId="6" borderId="0" xfId="14" applyFont="1" applyFill="1" applyAlignment="1" applyProtection="1"/>
    <xf numFmtId="0" fontId="31" fillId="6" borderId="0" xfId="14" applyFont="1" applyFill="1" applyAlignment="1" applyProtection="1"/>
    <xf numFmtId="0" fontId="32" fillId="7" borderId="0" xfId="14" applyFont="1" applyFill="1" applyBorder="1" applyProtection="1"/>
    <xf numFmtId="0" fontId="29" fillId="7" borderId="0" xfId="14" applyFont="1" applyFill="1" applyBorder="1" applyProtection="1"/>
    <xf numFmtId="0" fontId="32" fillId="6" borderId="0" xfId="14" applyFont="1" applyFill="1" applyProtection="1"/>
    <xf numFmtId="0" fontId="13" fillId="8" borderId="0" xfId="14" applyFont="1" applyFill="1" applyBorder="1"/>
    <xf numFmtId="0" fontId="12" fillId="8" borderId="0" xfId="14" applyFont="1" applyFill="1" applyBorder="1"/>
    <xf numFmtId="0" fontId="13" fillId="8" borderId="6" xfId="14" applyNumberFormat="1" applyFont="1" applyFill="1" applyBorder="1" applyAlignment="1">
      <alignment horizontal="right"/>
    </xf>
    <xf numFmtId="0" fontId="13" fillId="8" borderId="0" xfId="14" applyNumberFormat="1" applyFont="1" applyFill="1" applyBorder="1" applyAlignment="1">
      <alignment horizontal="right"/>
    </xf>
    <xf numFmtId="0" fontId="29" fillId="8" borderId="0" xfId="14" applyFont="1" applyFill="1" applyBorder="1"/>
    <xf numFmtId="0" fontId="13" fillId="8" borderId="6" xfId="0" applyNumberFormat="1" applyFont="1" applyFill="1" applyBorder="1" applyAlignment="1">
      <alignment horizontal="right" vertical="center" wrapText="1"/>
    </xf>
    <xf numFmtId="0" fontId="13" fillId="8" borderId="0" xfId="0" applyNumberFormat="1" applyFont="1" applyFill="1" applyBorder="1" applyAlignment="1">
      <alignment horizontal="right" vertical="center" wrapText="1"/>
    </xf>
    <xf numFmtId="0" fontId="13" fillId="8" borderId="0" xfId="0" applyFont="1" applyFill="1" applyBorder="1" applyAlignment="1">
      <alignment horizontal="right" vertical="center" wrapText="1"/>
    </xf>
    <xf numFmtId="0" fontId="32" fillId="6" borderId="0" xfId="14" applyFont="1" applyFill="1" applyAlignment="1" applyProtection="1">
      <alignment horizontal="center"/>
    </xf>
    <xf numFmtId="0" fontId="32" fillId="7" borderId="0" xfId="14" applyFont="1" applyFill="1" applyBorder="1"/>
    <xf numFmtId="3" fontId="32" fillId="7" borderId="0" xfId="14" applyNumberFormat="1" applyFont="1" applyFill="1" applyBorder="1"/>
    <xf numFmtId="169" fontId="12" fillId="0" borderId="0" xfId="0" applyNumberFormat="1" applyFont="1" applyFill="1"/>
    <xf numFmtId="0" fontId="24" fillId="0" borderId="0" xfId="0" applyFont="1" applyAlignment="1">
      <alignment horizontal="center"/>
    </xf>
    <xf numFmtId="2" fontId="13" fillId="0" borderId="0" xfId="0" applyNumberFormat="1" applyFont="1" applyFill="1" applyBorder="1" applyAlignment="1">
      <alignment horizontal="right" vertical="top"/>
    </xf>
    <xf numFmtId="0" fontId="13" fillId="4" borderId="3" xfId="0" applyFont="1" applyFill="1" applyBorder="1"/>
    <xf numFmtId="0" fontId="12" fillId="4" borderId="3" xfId="0" applyFont="1" applyFill="1" applyBorder="1"/>
    <xf numFmtId="0" fontId="13" fillId="4" borderId="3" xfId="0" applyFont="1" applyFill="1" applyBorder="1" applyAlignment="1">
      <alignment horizontal="center"/>
    </xf>
    <xf numFmtId="0" fontId="33" fillId="0" borderId="0" xfId="0" applyFont="1" applyBorder="1"/>
    <xf numFmtId="0" fontId="33" fillId="0" borderId="0" xfId="0" applyFont="1" applyBorder="1" applyAlignment="1">
      <alignment horizontal="right"/>
    </xf>
    <xf numFmtId="0" fontId="0" fillId="0" borderId="0" xfId="0" applyFont="1"/>
    <xf numFmtId="0" fontId="34" fillId="0" borderId="0" xfId="0" applyFont="1"/>
    <xf numFmtId="0" fontId="35" fillId="0" borderId="0" xfId="0" applyFont="1"/>
    <xf numFmtId="172" fontId="0" fillId="0" borderId="0" xfId="0" applyNumberFormat="1" applyFont="1"/>
    <xf numFmtId="10" fontId="35" fillId="0" borderId="0" xfId="26" applyNumberFormat="1" applyFont="1"/>
    <xf numFmtId="171" fontId="36" fillId="0" borderId="0" xfId="0" applyNumberFormat="1" applyFont="1"/>
    <xf numFmtId="0" fontId="36" fillId="0" borderId="0" xfId="0" applyFont="1"/>
    <xf numFmtId="171" fontId="37" fillId="0" borderId="0" xfId="0" applyNumberFormat="1" applyFont="1"/>
    <xf numFmtId="0" fontId="37" fillId="0" borderId="0" xfId="0" applyFont="1"/>
    <xf numFmtId="173" fontId="12" fillId="0" borderId="0" xfId="0" applyNumberFormat="1" applyFont="1"/>
    <xf numFmtId="0" fontId="38" fillId="0" borderId="0" xfId="13" applyFont="1" applyFill="1" applyAlignment="1">
      <alignment horizontal="left" vertical="center"/>
    </xf>
    <xf numFmtId="1" fontId="39" fillId="0" borderId="1" xfId="26" applyNumberFormat="1" applyFont="1" applyFill="1" applyBorder="1" applyAlignment="1">
      <alignment horizontal="right"/>
    </xf>
    <xf numFmtId="0" fontId="12" fillId="0" borderId="0" xfId="0" applyFont="1" applyAlignment="1">
      <alignment horizontal="left"/>
    </xf>
    <xf numFmtId="0" fontId="12" fillId="0" borderId="0" xfId="0" applyFont="1"/>
    <xf numFmtId="0" fontId="41" fillId="9" borderId="0" xfId="0" applyFont="1" applyFill="1"/>
    <xf numFmtId="169" fontId="42" fillId="9" borderId="0" xfId="0" applyNumberFormat="1" applyFont="1" applyFill="1"/>
    <xf numFmtId="0" fontId="0" fillId="0" borderId="2" xfId="0" applyBorder="1"/>
    <xf numFmtId="1" fontId="43" fillId="2" borderId="1" xfId="26" applyNumberFormat="1" applyFont="1" applyFill="1" applyBorder="1" applyAlignment="1">
      <alignment horizontal="right"/>
    </xf>
    <xf numFmtId="10" fontId="43" fillId="2" borderId="0" xfId="26" applyNumberFormat="1" applyFont="1" applyFill="1"/>
    <xf numFmtId="1" fontId="43" fillId="2" borderId="0" xfId="26" applyNumberFormat="1" applyFont="1" applyFill="1"/>
    <xf numFmtId="1" fontId="43" fillId="2" borderId="0" xfId="26" applyNumberFormat="1" applyFont="1" applyFill="1" applyAlignment="1">
      <alignment horizontal="right"/>
    </xf>
    <xf numFmtId="0" fontId="45" fillId="2" borderId="7" xfId="0" applyFont="1" applyFill="1" applyBorder="1" applyAlignment="1">
      <alignment vertical="center"/>
    </xf>
    <xf numFmtId="0" fontId="45" fillId="2" borderId="5" xfId="0" applyFont="1" applyFill="1" applyBorder="1" applyAlignment="1">
      <alignment vertical="center"/>
    </xf>
    <xf numFmtId="0" fontId="45" fillId="2" borderId="8" xfId="0" applyFont="1" applyFill="1" applyBorder="1" applyAlignment="1">
      <alignment vertical="center"/>
    </xf>
    <xf numFmtId="168" fontId="45" fillId="2" borderId="1" xfId="0" applyNumberFormat="1" applyFont="1" applyFill="1" applyBorder="1" applyAlignment="1">
      <alignment horizontal="right" vertical="top"/>
    </xf>
    <xf numFmtId="170" fontId="45" fillId="2" borderId="1" xfId="0" applyNumberFormat="1" applyFont="1" applyFill="1" applyBorder="1" applyAlignment="1">
      <alignment horizontal="right" vertical="top"/>
    </xf>
    <xf numFmtId="1" fontId="45" fillId="2" borderId="1" xfId="0" applyNumberFormat="1" applyFont="1" applyFill="1" applyBorder="1"/>
    <xf numFmtId="166" fontId="45" fillId="2" borderId="1" xfId="0" applyNumberFormat="1" applyFont="1" applyFill="1" applyBorder="1"/>
    <xf numFmtId="0" fontId="45" fillId="2" borderId="7" xfId="0" applyFont="1" applyFill="1" applyBorder="1"/>
    <xf numFmtId="172" fontId="12" fillId="0" borderId="0" xfId="0" applyNumberFormat="1" applyFont="1"/>
    <xf numFmtId="169" fontId="40" fillId="6" borderId="0" xfId="0" applyNumberFormat="1" applyFont="1" applyFill="1" applyAlignment="1">
      <alignment horizontal="left"/>
    </xf>
    <xf numFmtId="0" fontId="46" fillId="6" borderId="0" xfId="14" applyFont="1" applyFill="1" applyAlignment="1" applyProtection="1"/>
    <xf numFmtId="0" fontId="47" fillId="0" borderId="0" xfId="0" applyFont="1"/>
    <xf numFmtId="0" fontId="48" fillId="0" borderId="0" xfId="0" applyFont="1"/>
    <xf numFmtId="0" fontId="13" fillId="4" borderId="2" xfId="0" applyFont="1" applyFill="1" applyBorder="1" applyAlignment="1">
      <alignment horizontal="left"/>
    </xf>
    <xf numFmtId="0" fontId="13" fillId="10" borderId="0" xfId="0" applyFont="1" applyFill="1" applyBorder="1" applyAlignment="1">
      <alignment horizontal="center"/>
    </xf>
    <xf numFmtId="167" fontId="45" fillId="2" borderId="1" xfId="0" applyNumberFormat="1" applyFont="1" applyFill="1" applyBorder="1" applyAlignment="1">
      <alignment horizontal="right" vertical="top"/>
    </xf>
    <xf numFmtId="0" fontId="49" fillId="0" borderId="0" xfId="0" applyFont="1" applyFill="1"/>
    <xf numFmtId="175" fontId="49" fillId="0" borderId="0" xfId="27" applyNumberFormat="1" applyFont="1" applyFill="1"/>
    <xf numFmtId="0" fontId="13" fillId="0" borderId="3" xfId="0" applyFont="1" applyBorder="1" applyAlignment="1">
      <alignment horizontal="left"/>
    </xf>
    <xf numFmtId="0" fontId="13" fillId="0" borderId="0" xfId="0" applyFont="1" applyAlignment="1">
      <alignment horizontal="center"/>
    </xf>
    <xf numFmtId="0" fontId="13" fillId="0" borderId="0" xfId="0" applyFont="1"/>
    <xf numFmtId="170" fontId="12" fillId="0" borderId="0" xfId="0" applyNumberFormat="1" applyFont="1"/>
    <xf numFmtId="174" fontId="45" fillId="2" borderId="1" xfId="28" applyNumberFormat="1" applyFont="1" applyFill="1" applyBorder="1" applyAlignment="1">
      <alignment horizontal="right" vertical="top"/>
    </xf>
    <xf numFmtId="44" fontId="12" fillId="0" borderId="0" xfId="28" applyFont="1"/>
    <xf numFmtId="174" fontId="12" fillId="0" borderId="0" xfId="28" applyNumberFormat="1" applyFont="1"/>
    <xf numFmtId="176" fontId="45" fillId="2" borderId="1" xfId="0" applyNumberFormat="1" applyFont="1" applyFill="1" applyBorder="1" applyAlignment="1">
      <alignment horizontal="right" vertical="top"/>
    </xf>
    <xf numFmtId="177" fontId="12" fillId="0" borderId="0" xfId="0" applyNumberFormat="1" applyFont="1"/>
    <xf numFmtId="170" fontId="13" fillId="0" borderId="0" xfId="0" applyNumberFormat="1" applyFont="1"/>
    <xf numFmtId="0" fontId="53" fillId="0" borderId="0" xfId="0" applyFont="1"/>
    <xf numFmtId="0" fontId="54" fillId="0" borderId="0" xfId="30" applyFont="1" applyFill="1"/>
    <xf numFmtId="9" fontId="45" fillId="2" borderId="1" xfId="26" applyFont="1" applyFill="1" applyBorder="1" applyAlignment="1">
      <alignment horizontal="right" vertical="top"/>
    </xf>
    <xf numFmtId="175" fontId="13" fillId="0" borderId="0" xfId="27" applyNumberFormat="1" applyFont="1"/>
    <xf numFmtId="175" fontId="13" fillId="0" borderId="0" xfId="0" applyNumberFormat="1" applyFont="1"/>
    <xf numFmtId="0" fontId="12" fillId="4" borderId="0" xfId="0" applyFont="1" applyFill="1"/>
    <xf numFmtId="0" fontId="13" fillId="10" borderId="0" xfId="0" applyFont="1" applyFill="1" applyBorder="1" applyAlignment="1">
      <alignment horizontal="left"/>
    </xf>
    <xf numFmtId="6" fontId="12" fillId="0" borderId="0" xfId="0" applyNumberFormat="1" applyFont="1" applyAlignment="1">
      <alignment horizontal="center"/>
    </xf>
    <xf numFmtId="178" fontId="12" fillId="0" borderId="0" xfId="0" applyNumberFormat="1" applyFont="1" applyAlignment="1">
      <alignment horizontal="center"/>
    </xf>
    <xf numFmtId="6" fontId="12" fillId="0" borderId="0" xfId="0" applyNumberFormat="1" applyFont="1"/>
    <xf numFmtId="6" fontId="12" fillId="0" borderId="3" xfId="0" applyNumberFormat="1" applyFont="1" applyBorder="1" applyAlignment="1">
      <alignment horizontal="center"/>
    </xf>
    <xf numFmtId="6" fontId="12" fillId="0" borderId="0" xfId="0" applyNumberFormat="1" applyFont="1" applyFill="1" applyAlignment="1">
      <alignment horizontal="center"/>
    </xf>
    <xf numFmtId="6" fontId="45" fillId="0" borderId="0" xfId="0" applyNumberFormat="1" applyFont="1" applyAlignment="1">
      <alignment horizontal="center"/>
    </xf>
    <xf numFmtId="166" fontId="55" fillId="2" borderId="1" xfId="0" applyNumberFormat="1" applyFont="1" applyFill="1" applyBorder="1"/>
    <xf numFmtId="1" fontId="55" fillId="2" borderId="1" xfId="0" applyNumberFormat="1" applyFont="1" applyFill="1" applyBorder="1"/>
    <xf numFmtId="44" fontId="12" fillId="0" borderId="0" xfId="0" applyNumberFormat="1" applyFont="1"/>
    <xf numFmtId="175" fontId="12" fillId="0" borderId="0" xfId="27" applyNumberFormat="1" applyFont="1"/>
    <xf numFmtId="0" fontId="13" fillId="4" borderId="0" xfId="0" applyFont="1" applyFill="1"/>
    <xf numFmtId="43" fontId="12" fillId="0" borderId="0" xfId="27" applyNumberFormat="1" applyFont="1"/>
    <xf numFmtId="0" fontId="56" fillId="0" borderId="0" xfId="0" applyFont="1"/>
    <xf numFmtId="167" fontId="13" fillId="0" borderId="5" xfId="0" applyNumberFormat="1" applyFont="1" applyFill="1" applyBorder="1" applyAlignment="1">
      <alignment horizontal="left" vertical="top"/>
    </xf>
    <xf numFmtId="0" fontId="13" fillId="11" borderId="0" xfId="0" applyFont="1" applyFill="1" applyBorder="1"/>
    <xf numFmtId="6" fontId="13" fillId="11" borderId="0" xfId="0" applyNumberFormat="1" applyFont="1" applyFill="1" applyBorder="1"/>
    <xf numFmtId="0" fontId="36" fillId="0" borderId="2" xfId="0" applyFont="1" applyBorder="1" applyAlignment="1">
      <alignment horizontal="left"/>
    </xf>
    <xf numFmtId="0" fontId="36" fillId="0" borderId="2" xfId="0" applyFont="1" applyBorder="1" applyAlignment="1">
      <alignment horizontal="right"/>
    </xf>
    <xf numFmtId="0" fontId="0" fillId="0" borderId="0" xfId="0" applyBorder="1"/>
    <xf numFmtId="0" fontId="37" fillId="0" borderId="0" xfId="0" applyFont="1" applyBorder="1" applyAlignment="1">
      <alignment horizontal="right"/>
    </xf>
    <xf numFmtId="0" fontId="44" fillId="0" borderId="0" xfId="0" applyFont="1" applyBorder="1" applyAlignment="1">
      <alignment horizontal="right"/>
    </xf>
    <xf numFmtId="167" fontId="12" fillId="0" borderId="3" xfId="0" applyNumberFormat="1" applyFont="1" applyFill="1" applyBorder="1" applyAlignment="1">
      <alignment horizontal="right" vertical="top"/>
    </xf>
    <xf numFmtId="6" fontId="12" fillId="6" borderId="0" xfId="0" applyNumberFormat="1" applyFont="1" applyFill="1" applyAlignment="1">
      <alignment horizontal="center"/>
    </xf>
  </cellXfs>
  <cellStyles count="32">
    <cellStyle name="Comma" xfId="27" builtinId="3"/>
    <cellStyle name="Comma 2" xfId="11"/>
    <cellStyle name="Comma 3" xfId="24"/>
    <cellStyle name="Currency" xfId="28" builtinId="4"/>
    <cellStyle name="Currency 2" xfId="5"/>
    <cellStyle name="Currency 3" xfId="10"/>
    <cellStyle name="Currency 4" xfId="8"/>
    <cellStyle name="Currency 5" xfId="19"/>
    <cellStyle name="Currency 6" xfId="21"/>
    <cellStyle name="Heading" xfId="29"/>
    <cellStyle name="Hyperlink 2" xfId="30"/>
    <cellStyle name="Hyperlink 2 2" xfId="31"/>
    <cellStyle name="Normal" xfId="0" builtinId="0"/>
    <cellStyle name="Normal 2" xfId="1"/>
    <cellStyle name="Normal 2 2" xfId="3"/>
    <cellStyle name="Normal 2 3" xfId="4"/>
    <cellStyle name="Normal 2 4" xfId="6"/>
    <cellStyle name="Normal 3" xfId="2"/>
    <cellStyle name="Normal 3 2" xfId="14"/>
    <cellStyle name="Normal 3 3" xfId="22"/>
    <cellStyle name="Normal 3 3 2" xfId="25"/>
    <cellStyle name="Normal 4" xfId="7"/>
    <cellStyle name="Normal 5" xfId="13"/>
    <cellStyle name="Normal 6" xfId="15"/>
    <cellStyle name="Normal 7" xfId="16"/>
    <cellStyle name="Normal 8" xfId="17"/>
    <cellStyle name="Normal 9" xfId="20"/>
    <cellStyle name="Percent" xfId="26" builtinId="5"/>
    <cellStyle name="Percent 2" xfId="12"/>
    <cellStyle name="Percent 3" xfId="9"/>
    <cellStyle name="Percent 4" xfId="18"/>
    <cellStyle name="Percent 5" xfId="23"/>
  </cellStyles>
  <dxfs count="12"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</dxfs>
  <tableStyles count="0" defaultTableStyle="TableStyleMedium2" defaultPivotStyle="PivotStyleLight16"/>
  <colors>
    <mruColors>
      <color rgb="FFFF66CC"/>
      <color rgb="FFFF6600"/>
      <color rgb="FF0000FF"/>
      <color rgb="FFFFCCFF"/>
      <color rgb="FFD6E5F2"/>
      <color rgb="FFEBF2F9"/>
      <color rgb="FFE5EEF7"/>
      <color rgb="FF0033CC"/>
      <color rgb="FFFFFFCC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bs.gov.au/AUSSTATS/abs@.nsf/DetailsPage/8165.0June%202014%20to%20June%202018?OpenDocument" TargetMode="External"/><Relationship Id="rId2" Type="http://schemas.openxmlformats.org/officeDocument/2006/relationships/hyperlink" Target="https://www.inc.com/jim-belosic/how-to-calculate-the-value-of-your-and-your-employees-time.html" TargetMode="External"/><Relationship Id="rId1" Type="http://schemas.openxmlformats.org/officeDocument/2006/relationships/hyperlink" Target="https://www.abs.gov.au/ausstats/abs@.nsf/mf/6302.0?opendocument&amp;ref=HPKI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s://www.abs.gov.au/AUSSTATS/abs@.nsf/DetailsPage/5676.0Mar%202019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D13"/>
  <sheetViews>
    <sheetView showGridLines="0" tabSelected="1" zoomScale="80" zoomScaleNormal="80" workbookViewId="0">
      <selection activeCell="C23" sqref="C23"/>
    </sheetView>
  </sheetViews>
  <sheetFormatPr defaultColWidth="9.140625" defaultRowHeight="18.75" x14ac:dyDescent="0.3"/>
  <cols>
    <col min="1" max="1" width="4.28515625" style="48" customWidth="1"/>
    <col min="2" max="2" width="7.85546875" style="48" customWidth="1"/>
    <col min="3" max="3" width="15.140625" style="48" customWidth="1"/>
    <col min="4" max="4" width="17.85546875" style="48" customWidth="1"/>
    <col min="5" max="9" width="10.7109375" style="48" customWidth="1"/>
    <col min="10" max="10" width="10.7109375" style="80" customWidth="1"/>
    <col min="11" max="20" width="10.7109375" style="48" customWidth="1"/>
    <col min="21" max="21" width="4" style="48" customWidth="1"/>
    <col min="22" max="26" width="10.7109375" style="48" customWidth="1"/>
    <col min="27" max="27" width="3.140625" style="48" customWidth="1"/>
    <col min="28" max="28" width="10.7109375" style="48" customWidth="1"/>
    <col min="29" max="29" width="9.140625" style="48"/>
    <col min="30" max="30" width="14.85546875" style="48" bestFit="1" customWidth="1"/>
    <col min="31" max="16384" width="9.140625" style="48"/>
  </cols>
  <sheetData>
    <row r="1" spans="1:30" ht="21" x14ac:dyDescent="0.35">
      <c r="A1" s="18" t="str">
        <f>Assumptions!A1</f>
        <v>Intelligent Engineering</v>
      </c>
      <c r="B1" s="46"/>
      <c r="C1" s="46"/>
      <c r="D1" s="46"/>
      <c r="E1" s="46"/>
      <c r="F1" s="46"/>
      <c r="G1" s="46"/>
      <c r="H1" s="46"/>
      <c r="I1" s="46"/>
      <c r="J1" s="47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</row>
    <row r="2" spans="1:30" x14ac:dyDescent="0.3">
      <c r="A2" s="17" t="str">
        <f>Assumptions!A2</f>
        <v>VPN</v>
      </c>
      <c r="B2" s="46"/>
      <c r="C2" s="46"/>
      <c r="D2" s="46"/>
      <c r="E2" s="46"/>
      <c r="F2" s="46"/>
      <c r="G2" s="46"/>
      <c r="H2" s="46"/>
      <c r="I2" s="46"/>
      <c r="J2" s="47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</row>
    <row r="3" spans="1:30" s="51" customFormat="1" x14ac:dyDescent="0.3">
      <c r="A3" s="37" t="s">
        <v>46</v>
      </c>
      <c r="B3" s="49"/>
      <c r="C3" s="49"/>
      <c r="D3" s="49"/>
      <c r="E3" s="49"/>
      <c r="F3" s="49"/>
      <c r="G3" s="49"/>
      <c r="H3" s="49"/>
      <c r="I3" s="49"/>
      <c r="J3" s="49"/>
      <c r="K3" s="50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</row>
    <row r="4" spans="1:30" ht="12.75" customHeight="1" x14ac:dyDescent="0.3">
      <c r="A4" s="52"/>
      <c r="B4" s="52"/>
      <c r="C4" s="53"/>
      <c r="D4" s="53"/>
      <c r="E4" s="54"/>
      <c r="F4" s="53"/>
      <c r="G4" s="53"/>
      <c r="H4" s="54"/>
      <c r="I4" s="54"/>
      <c r="J4" s="54"/>
      <c r="K4" s="54"/>
      <c r="L4" s="54"/>
      <c r="M4" s="55"/>
      <c r="N4" s="55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</row>
    <row r="5" spans="1:30" s="2" customFormat="1" ht="12.75" customHeight="1" x14ac:dyDescent="0.2">
      <c r="A5" s="56"/>
      <c r="B5" s="57" t="s">
        <v>23</v>
      </c>
      <c r="C5" s="58"/>
      <c r="D5" s="59" t="str">
        <f>Summary!D6</f>
        <v>Option 2</v>
      </c>
      <c r="E5" s="60"/>
      <c r="F5" s="61"/>
      <c r="G5" s="61"/>
      <c r="H5" s="60"/>
      <c r="I5" s="60"/>
      <c r="J5" s="60"/>
      <c r="K5" s="60"/>
      <c r="L5" s="60"/>
      <c r="M5" s="62"/>
      <c r="N5" s="62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</row>
    <row r="6" spans="1:30" s="2" customFormat="1" ht="12.75" customHeight="1" x14ac:dyDescent="0.2">
      <c r="A6" s="56"/>
      <c r="B6" s="118" t="s">
        <v>39</v>
      </c>
      <c r="C6" s="67"/>
      <c r="D6" s="117" t="b">
        <f>AND('Option 1'!V3, 'Option 2'!V3)</f>
        <v>1</v>
      </c>
      <c r="E6" s="60"/>
      <c r="F6" s="61"/>
      <c r="G6" s="61"/>
      <c r="H6" s="60"/>
      <c r="I6" s="60"/>
      <c r="J6" s="60"/>
      <c r="K6" s="60"/>
      <c r="L6" s="60"/>
      <c r="M6" s="62"/>
      <c r="N6" s="62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</row>
    <row r="7" spans="1:30" s="2" customFormat="1" ht="12.75" customHeight="1" x14ac:dyDescent="0.2">
      <c r="A7" s="56"/>
      <c r="B7" s="56"/>
      <c r="C7" s="56"/>
      <c r="D7" s="56"/>
      <c r="E7" s="56"/>
      <c r="F7" s="56"/>
      <c r="G7" s="61"/>
      <c r="H7" s="60"/>
      <c r="I7" s="60"/>
      <c r="J7" s="60"/>
      <c r="K7" s="60"/>
      <c r="L7" s="60"/>
      <c r="M7" s="62"/>
      <c r="N7" s="62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</row>
    <row r="8" spans="1:30" s="2" customFormat="1" ht="12.75" customHeight="1" x14ac:dyDescent="0.2">
      <c r="A8" s="63"/>
      <c r="B8" s="64"/>
      <c r="C8" s="61"/>
      <c r="D8" s="61"/>
      <c r="E8" s="60"/>
      <c r="F8" s="61"/>
      <c r="G8" s="61"/>
      <c r="H8" s="60"/>
      <c r="I8" s="60"/>
      <c r="J8" s="60"/>
      <c r="K8" s="60"/>
      <c r="L8" s="60"/>
      <c r="M8" s="62"/>
      <c r="N8" s="62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</row>
    <row r="9" spans="1:30" s="2" customFormat="1" ht="12.75" customHeight="1" x14ac:dyDescent="0.2">
      <c r="A9" s="65"/>
      <c r="B9" s="66" t="s">
        <v>47</v>
      </c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</row>
    <row r="10" spans="1:30" s="2" customFormat="1" ht="12.75" customHeight="1" x14ac:dyDescent="0.2">
      <c r="A10" s="67"/>
      <c r="B10" s="68"/>
      <c r="C10" s="69"/>
      <c r="D10" s="69"/>
      <c r="E10" s="70"/>
      <c r="F10" s="71" t="s">
        <v>15</v>
      </c>
      <c r="G10" s="71" t="str">
        <f>F10</f>
        <v>2021/22</v>
      </c>
      <c r="H10" s="70" t="str">
        <f>G10</f>
        <v>2021/22</v>
      </c>
      <c r="I10" s="71" t="s">
        <v>16</v>
      </c>
      <c r="J10" s="71" t="str">
        <f>I10</f>
        <v>2022/23</v>
      </c>
      <c r="K10" s="70" t="str">
        <f>J10</f>
        <v>2022/23</v>
      </c>
      <c r="L10" s="71" t="s">
        <v>17</v>
      </c>
      <c r="M10" s="71" t="str">
        <f>L10</f>
        <v>2023/24</v>
      </c>
      <c r="N10" s="70" t="str">
        <f>M10</f>
        <v>2023/24</v>
      </c>
      <c r="O10" s="71" t="s">
        <v>18</v>
      </c>
      <c r="P10" s="71" t="str">
        <f>O10</f>
        <v>2024/25</v>
      </c>
      <c r="Q10" s="70" t="str">
        <f>P10</f>
        <v>2024/25</v>
      </c>
      <c r="R10" s="71" t="s">
        <v>19</v>
      </c>
      <c r="S10" s="71" t="str">
        <f>R10</f>
        <v>2025/26</v>
      </c>
      <c r="T10" s="70" t="str">
        <f>S10</f>
        <v>2025/26</v>
      </c>
      <c r="U10" s="67"/>
      <c r="V10" s="71" t="str">
        <f>F10</f>
        <v>2021/22</v>
      </c>
      <c r="W10" s="71" t="str">
        <f>I10</f>
        <v>2022/23</v>
      </c>
      <c r="X10" s="71" t="str">
        <f>L10</f>
        <v>2023/24</v>
      </c>
      <c r="Y10" s="71" t="str">
        <f>O10</f>
        <v>2024/25</v>
      </c>
      <c r="Z10" s="71" t="str">
        <f>R10</f>
        <v>2025/26</v>
      </c>
      <c r="AA10" s="67"/>
      <c r="AB10" s="71" t="s">
        <v>24</v>
      </c>
    </row>
    <row r="11" spans="1:30" s="2" customFormat="1" ht="12.75" customHeight="1" x14ac:dyDescent="0.2">
      <c r="A11" s="67"/>
      <c r="B11" s="72" t="s">
        <v>25</v>
      </c>
      <c r="C11" s="72" t="s">
        <v>26</v>
      </c>
      <c r="D11" s="72"/>
      <c r="E11" s="73"/>
      <c r="F11" s="74" t="s">
        <v>1</v>
      </c>
      <c r="G11" s="74" t="s">
        <v>0</v>
      </c>
      <c r="H11" s="73" t="s">
        <v>3</v>
      </c>
      <c r="I11" s="74" t="s">
        <v>1</v>
      </c>
      <c r="J11" s="74" t="s">
        <v>0</v>
      </c>
      <c r="K11" s="73" t="s">
        <v>3</v>
      </c>
      <c r="L11" s="74" t="s">
        <v>1</v>
      </c>
      <c r="M11" s="74" t="s">
        <v>0</v>
      </c>
      <c r="N11" s="73" t="s">
        <v>3</v>
      </c>
      <c r="O11" s="74" t="s">
        <v>1</v>
      </c>
      <c r="P11" s="74" t="s">
        <v>0</v>
      </c>
      <c r="Q11" s="73" t="s">
        <v>3</v>
      </c>
      <c r="R11" s="75" t="s">
        <v>1</v>
      </c>
      <c r="S11" s="75" t="s">
        <v>0</v>
      </c>
      <c r="T11" s="75" t="s">
        <v>3</v>
      </c>
      <c r="U11" s="67"/>
      <c r="V11" s="75"/>
      <c r="W11" s="75"/>
      <c r="X11" s="75"/>
      <c r="Y11" s="75"/>
      <c r="Z11" s="75"/>
      <c r="AA11" s="67"/>
      <c r="AB11" s="75"/>
    </row>
    <row r="12" spans="1:30" s="2" customFormat="1" ht="12.75" customHeight="1" x14ac:dyDescent="0.2">
      <c r="A12" s="67"/>
      <c r="B12" s="76">
        <v>200</v>
      </c>
      <c r="C12" s="77" t="s">
        <v>27</v>
      </c>
      <c r="D12" s="77"/>
      <c r="E12" s="77"/>
      <c r="F12" s="78">
        <f ca="1">INDEX(Summary!$F$11:$J$36,MATCH($D$5&amp;F$11,Summary!$D$11:$D$36,0), MATCH(Output!F$10, Summary!$F$10:$J$10,0))/1000</f>
        <v>0</v>
      </c>
      <c r="G12" s="78">
        <f ca="1">INDEX(Summary!$F$11:$J$36,MATCH($D$5&amp;G$11,Summary!$D$11:$D$36,0), MATCH(Output!G$10, Summary!$F$10:$J$10,0))/1000</f>
        <v>0</v>
      </c>
      <c r="H12" s="78">
        <f ca="1">INDEX(Summary!$F$11:$J$36,MATCH($D$5&amp;H$11,Summary!$D$11:$D$36,0), MATCH(Output!H$10, Summary!$F$10:$J$10,0))/1000</f>
        <v>0</v>
      </c>
      <c r="I12" s="78">
        <f ca="1">INDEX(Summary!$F$11:$J$36,MATCH($D$5&amp;I$11,Summary!$D$11:$D$36,0), MATCH(Output!I$10, Summary!$F$10:$J$10,0))/1000</f>
        <v>1172.01532178911</v>
      </c>
      <c r="J12" s="78">
        <f ca="1">INDEX(Summary!$F$11:$J$36,MATCH($D$5&amp;J$11,Summary!$D$11:$D$36,0), MATCH(Output!J$10, Summary!$F$10:$J$10,0))/1000</f>
        <v>548.05486172041606</v>
      </c>
      <c r="K12" s="78">
        <f ca="1">INDEX(Summary!$F$11:$J$36,MATCH($D$5&amp;K$11,Summary!$D$11:$D$36,0), MATCH(Output!K$10, Summary!$F$10:$J$10,0))/1000</f>
        <v>0</v>
      </c>
      <c r="L12" s="78">
        <f ca="1">INDEX(Summary!$F$11:$J$36,MATCH($D$5&amp;L$11,Summary!$D$11:$D$36,0), MATCH(Output!L$10, Summary!$F$10:$J$10,0))/1000</f>
        <v>3113.2415276509901</v>
      </c>
      <c r="M12" s="78">
        <f ca="1">INDEX(Summary!$F$11:$J$36,MATCH($D$5&amp;M$11,Summary!$D$11:$D$36,0), MATCH(Output!M$10, Summary!$F$10:$J$10,0))/1000</f>
        <v>759.86350393120506</v>
      </c>
      <c r="N12" s="78">
        <f ca="1">INDEX(Summary!$F$11:$J$36,MATCH($D$5&amp;N$11,Summary!$D$11:$D$36,0), MATCH(Output!N$10, Summary!$F$10:$J$10,0))/1000</f>
        <v>2334.1312371628933</v>
      </c>
      <c r="O12" s="78">
        <f ca="1">INDEX(Summary!$F$11:$J$36,MATCH($D$5&amp;O$11,Summary!$D$11:$D$36,0), MATCH(Output!O$10, Summary!$F$10:$J$10,0))/1000</f>
        <v>291.18393087928195</v>
      </c>
      <c r="P12" s="78">
        <f ca="1">INDEX(Summary!$F$11:$J$36,MATCH($D$5&amp;P$11,Summary!$D$11:$D$36,0), MATCH(Output!P$10, Summary!$F$10:$J$10,0))/1000</f>
        <v>635.42592663236655</v>
      </c>
      <c r="Q12" s="78">
        <f ca="1">INDEX(Summary!$F$11:$J$36,MATCH($D$5&amp;Q$11,Summary!$D$11:$D$36,0), MATCH(Output!Q$10, Summary!$F$10:$J$10,0))/1000</f>
        <v>0</v>
      </c>
      <c r="R12" s="78">
        <f ca="1">INDEX(Summary!$F$11:$J$36,MATCH($D$5&amp;R$11,Summary!$D$11:$D$36,0), MATCH(Output!R$10, Summary!$F$10:$J$10,0))/1000</f>
        <v>0</v>
      </c>
      <c r="S12" s="78">
        <f ca="1">INDEX(Summary!$F$11:$J$36,MATCH($D$5&amp;S$11,Summary!$D$11:$D$36,0), MATCH(Output!S$10, Summary!$F$10:$J$10,0))/1000</f>
        <v>0</v>
      </c>
      <c r="T12" s="78">
        <f ca="1">INDEX(Summary!$F$11:$J$36,MATCH($D$5&amp;T$11,Summary!$D$11:$D$36,0), MATCH(Output!T$10, Summary!$F$10:$J$10,0))/1000</f>
        <v>0</v>
      </c>
      <c r="U12" s="67"/>
      <c r="V12" s="78">
        <f ca="1">SUMIF($F$10:$T$10,V$10,$F12:$T12)</f>
        <v>0</v>
      </c>
      <c r="W12" s="78">
        <f ca="1">SUMIF($F$10:$T$10,W$10,$F12:$T12)</f>
        <v>1720.070183509526</v>
      </c>
      <c r="X12" s="78">
        <f ca="1">SUMIF($F$10:$T$10,X$10,$F12:$T12)</f>
        <v>6207.2362687450877</v>
      </c>
      <c r="Y12" s="78">
        <f ca="1">SUMIF($F$10:$T$10,Y$10,$F12:$T12)</f>
        <v>926.60985751164844</v>
      </c>
      <c r="Z12" s="78">
        <f ca="1">SUMIF($F$10:$T$10,Z$10,$F12:$T12)</f>
        <v>0</v>
      </c>
      <c r="AA12" s="67"/>
      <c r="AB12" s="78">
        <f ca="1">SUM(V12:Z12)</f>
        <v>8853.9163097662622</v>
      </c>
    </row>
    <row r="13" spans="1:30" s="2" customFormat="1" ht="12.75" customHeight="1" x14ac:dyDescent="0.2">
      <c r="A13" s="67"/>
      <c r="B13" s="76"/>
      <c r="C13" s="77"/>
      <c r="D13" s="77"/>
      <c r="E13" s="77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67"/>
      <c r="V13" s="78"/>
      <c r="W13" s="78"/>
      <c r="X13" s="78"/>
      <c r="Y13" s="78"/>
      <c r="Z13" s="78"/>
      <c r="AA13" s="67"/>
      <c r="AB13" s="78"/>
      <c r="AD13" s="79"/>
    </row>
  </sheetData>
  <conditionalFormatting sqref="D6">
    <cfRule type="expression" dxfId="11" priority="1">
      <formula>D6&lt;&gt;TRUE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Q28"/>
  <sheetViews>
    <sheetView showGridLines="0" zoomScale="85" zoomScaleNormal="85" workbookViewId="0"/>
  </sheetViews>
  <sheetFormatPr defaultColWidth="9.140625" defaultRowHeight="12.75" x14ac:dyDescent="0.2"/>
  <cols>
    <col min="1" max="1" width="4.28515625" style="1" customWidth="1"/>
    <col min="2" max="2" width="8.85546875" style="1" customWidth="1"/>
    <col min="3" max="3" width="15.28515625" style="1" customWidth="1"/>
    <col min="4" max="4" width="13.85546875" style="100" customWidth="1"/>
    <col min="5" max="5" width="2.85546875" style="1" customWidth="1"/>
    <col min="6" max="10" width="12.42578125" style="1" customWidth="1"/>
    <col min="11" max="11" width="10.28515625" style="1" bestFit="1" customWidth="1"/>
    <col min="12" max="12" width="11.28515625" style="1" bestFit="1" customWidth="1"/>
    <col min="13" max="16384" width="9.140625" style="1"/>
  </cols>
  <sheetData>
    <row r="1" spans="1:17" ht="21" x14ac:dyDescent="0.35">
      <c r="A1" s="18" t="str">
        <f>Assumptions!A1</f>
        <v>Intelligent Engineering</v>
      </c>
      <c r="B1" s="18"/>
      <c r="C1" s="15"/>
      <c r="D1" s="15"/>
      <c r="E1" s="15"/>
      <c r="F1" s="15"/>
      <c r="G1" s="15"/>
      <c r="H1" s="15"/>
      <c r="I1" s="15"/>
      <c r="J1" s="15"/>
    </row>
    <row r="2" spans="1:17" ht="15.75" x14ac:dyDescent="0.25">
      <c r="A2" s="17" t="str">
        <f>Assumptions!A2</f>
        <v>VPN</v>
      </c>
      <c r="B2" s="17"/>
      <c r="C2" s="15"/>
      <c r="D2" s="15"/>
      <c r="E2" s="15"/>
      <c r="F2" s="15"/>
      <c r="G2" s="15"/>
      <c r="H2" s="15"/>
      <c r="I2" s="15"/>
      <c r="J2" s="15"/>
    </row>
    <row r="3" spans="1:17" s="22" customFormat="1" ht="15.75" x14ac:dyDescent="0.25">
      <c r="A3" s="37" t="s">
        <v>48</v>
      </c>
      <c r="B3" s="35"/>
      <c r="C3" s="36"/>
      <c r="D3" s="36"/>
      <c r="E3" s="36"/>
      <c r="F3" s="36"/>
      <c r="G3" s="36"/>
      <c r="H3" s="36"/>
      <c r="I3" s="36"/>
      <c r="J3" s="36"/>
      <c r="K3" s="1"/>
    </row>
    <row r="4" spans="1:17" ht="12.75" customHeight="1" x14ac:dyDescent="0.25">
      <c r="E4" s="3"/>
      <c r="O4"/>
    </row>
    <row r="5" spans="1:17" s="2" customFormat="1" ht="12.75" customHeight="1" x14ac:dyDescent="0.25">
      <c r="B5" s="19"/>
      <c r="C5" s="20"/>
      <c r="D5" s="20"/>
      <c r="E5" s="20"/>
      <c r="F5" s="20"/>
      <c r="G5" s="20"/>
      <c r="H5" s="20"/>
      <c r="I5" s="20"/>
      <c r="J5" s="20"/>
    </row>
    <row r="6" spans="1:17" ht="12.75" customHeight="1" x14ac:dyDescent="0.25">
      <c r="B6" s="42" t="s">
        <v>21</v>
      </c>
      <c r="D6" s="43" t="s">
        <v>20</v>
      </c>
      <c r="E6" s="3"/>
      <c r="O6"/>
    </row>
    <row r="7" spans="1:17" ht="12.75" customHeight="1" x14ac:dyDescent="0.25">
      <c r="B7" s="118" t="s">
        <v>39</v>
      </c>
      <c r="D7" s="117" t="b">
        <f>Output!D6</f>
        <v>1</v>
      </c>
      <c r="E7" s="3"/>
      <c r="O7"/>
    </row>
    <row r="8" spans="1:17" ht="12.75" customHeight="1" x14ac:dyDescent="0.25">
      <c r="E8" s="3"/>
      <c r="O8"/>
    </row>
    <row r="9" spans="1:17" ht="12.75" customHeight="1" x14ac:dyDescent="0.25">
      <c r="E9" s="3"/>
      <c r="O9"/>
    </row>
    <row r="10" spans="1:17" ht="12.75" customHeight="1" x14ac:dyDescent="0.25">
      <c r="B10" s="82" t="s">
        <v>28</v>
      </c>
      <c r="C10" s="82" t="s">
        <v>8</v>
      </c>
      <c r="D10" s="82"/>
      <c r="E10" s="83"/>
      <c r="F10" s="84" t="s">
        <v>15</v>
      </c>
      <c r="G10" s="84" t="s">
        <v>16</v>
      </c>
      <c r="H10" s="84" t="s">
        <v>17</v>
      </c>
      <c r="I10" s="84" t="s">
        <v>18</v>
      </c>
      <c r="J10" s="84" t="s">
        <v>19</v>
      </c>
      <c r="O10"/>
    </row>
    <row r="11" spans="1:17" ht="12.75" customHeight="1" x14ac:dyDescent="0.25">
      <c r="C11" s="1" t="s">
        <v>1</v>
      </c>
      <c r="D11" s="120" t="str">
        <f>B10&amp;C11</f>
        <v>Option 1Labour</v>
      </c>
      <c r="E11" s="3"/>
      <c r="F11" s="9">
        <f t="shared" ref="F11:J13" ca="1" si="0">SUMIF(INDIRECT(LEFT($D11,6)&amp;MID($D11,8,1)&amp;"_categories"),$C11,INDEX(INDIRECT(LEFT($D11,6)&amp;MID($D11,8,1)&amp;"_costs"),,MATCH(F$10,years,0)))*Conv_2021</f>
        <v>0</v>
      </c>
      <c r="G11" s="9">
        <f t="shared" ca="1" si="0"/>
        <v>1172015.3217891101</v>
      </c>
      <c r="H11" s="9">
        <f t="shared" ca="1" si="0"/>
        <v>3113241.5276509901</v>
      </c>
      <c r="I11" s="9">
        <f t="shared" ca="1" si="0"/>
        <v>0</v>
      </c>
      <c r="J11" s="9">
        <f t="shared" ca="1" si="0"/>
        <v>0</v>
      </c>
      <c r="O11"/>
    </row>
    <row r="12" spans="1:17" ht="12.75" customHeight="1" x14ac:dyDescent="0.25">
      <c r="C12" s="1" t="s">
        <v>0</v>
      </c>
      <c r="D12" s="120" t="str">
        <f>B10&amp;C12</f>
        <v>Option 1Materials</v>
      </c>
      <c r="E12" s="3"/>
      <c r="F12" s="9">
        <f t="shared" ca="1" si="0"/>
        <v>0</v>
      </c>
      <c r="G12" s="9">
        <f t="shared" ca="1" si="0"/>
        <v>548054.86172041611</v>
      </c>
      <c r="H12" s="9">
        <f t="shared" ca="1" si="0"/>
        <v>759863.50393120502</v>
      </c>
      <c r="I12" s="9">
        <f t="shared" ca="1" si="0"/>
        <v>0</v>
      </c>
      <c r="J12" s="9">
        <f t="shared" ca="1" si="0"/>
        <v>0</v>
      </c>
      <c r="O12"/>
    </row>
    <row r="13" spans="1:17" ht="12.75" customHeight="1" x14ac:dyDescent="0.2">
      <c r="C13" s="1" t="s">
        <v>3</v>
      </c>
      <c r="D13" s="120" t="str">
        <f>B10&amp;C13</f>
        <v>Option 1Contracts</v>
      </c>
      <c r="F13" s="9">
        <f t="shared" ca="1" si="0"/>
        <v>0</v>
      </c>
      <c r="G13" s="9">
        <f t="shared" ca="1" si="0"/>
        <v>0</v>
      </c>
      <c r="H13" s="9">
        <f t="shared" ca="1" si="0"/>
        <v>2334131.2371628932</v>
      </c>
      <c r="I13" s="9">
        <f t="shared" ca="1" si="0"/>
        <v>0</v>
      </c>
      <c r="J13" s="9">
        <f t="shared" ca="1" si="0"/>
        <v>0</v>
      </c>
    </row>
    <row r="14" spans="1:17" ht="12.75" customHeight="1" x14ac:dyDescent="0.2">
      <c r="B14" s="100"/>
      <c r="C14" s="25" t="s">
        <v>49</v>
      </c>
      <c r="D14" s="25"/>
      <c r="E14" s="25"/>
      <c r="F14" s="26">
        <f ca="1">SUM(F11:F13)</f>
        <v>0</v>
      </c>
      <c r="G14" s="26">
        <f ca="1">SUM(G11:G13)</f>
        <v>1720070.1835095263</v>
      </c>
      <c r="H14" s="26">
        <f ca="1">SUM(H11:H13)</f>
        <v>6207236.2687450889</v>
      </c>
      <c r="I14" s="26">
        <f ca="1">SUM(I11:I13)</f>
        <v>0</v>
      </c>
      <c r="J14" s="26">
        <f ca="1">SUM(J11:J13)</f>
        <v>0</v>
      </c>
      <c r="K14" s="44"/>
      <c r="L14" s="2"/>
      <c r="M14" s="2"/>
      <c r="N14" s="2"/>
      <c r="O14" s="2"/>
      <c r="P14" s="2"/>
      <c r="Q14" s="2"/>
    </row>
    <row r="15" spans="1:17" ht="12.75" customHeight="1" x14ac:dyDescent="0.2">
      <c r="B15" s="100"/>
      <c r="C15" s="7"/>
      <c r="D15" s="7"/>
      <c r="E15" s="7"/>
      <c r="F15" s="81"/>
      <c r="G15" s="81"/>
      <c r="H15" s="81"/>
      <c r="I15" s="81"/>
      <c r="J15" s="81"/>
    </row>
    <row r="16" spans="1:17" ht="12.75" customHeight="1" x14ac:dyDescent="0.2">
      <c r="C16" s="156" t="s">
        <v>64</v>
      </c>
      <c r="D16" s="26"/>
      <c r="E16" s="26"/>
      <c r="F16" s="26">
        <f ca="1">NPV(Assumptions!$B$6,F14:J14)</f>
        <v>7351295.3782361969</v>
      </c>
      <c r="G16" s="81"/>
      <c r="H16" s="81"/>
      <c r="I16" s="81"/>
      <c r="J16" s="81"/>
    </row>
    <row r="17" spans="2:12" ht="12.75" customHeight="1" x14ac:dyDescent="0.2">
      <c r="C17" s="41"/>
      <c r="D17" s="41"/>
      <c r="E17" s="7"/>
      <c r="F17" s="81"/>
      <c r="G17" s="81"/>
      <c r="H17" s="81"/>
      <c r="I17" s="81"/>
      <c r="J17" s="81"/>
    </row>
    <row r="18" spans="2:12" ht="12.75" customHeight="1" x14ac:dyDescent="0.2">
      <c r="B18" s="7"/>
      <c r="C18" s="7"/>
      <c r="D18" s="7"/>
      <c r="E18" s="7"/>
      <c r="F18" s="27"/>
      <c r="G18" s="27"/>
      <c r="H18" s="27"/>
      <c r="I18" s="27"/>
      <c r="J18" s="27"/>
    </row>
    <row r="19" spans="2:12" ht="12.75" customHeight="1" x14ac:dyDescent="0.2">
      <c r="B19" s="82" t="s">
        <v>20</v>
      </c>
      <c r="C19" s="82" t="s">
        <v>8</v>
      </c>
      <c r="D19" s="82"/>
      <c r="E19" s="83"/>
      <c r="F19" s="84" t="str">
        <f>F$10</f>
        <v>2021/22</v>
      </c>
      <c r="G19" s="84" t="str">
        <f t="shared" ref="G19:J19" si="1">G$10</f>
        <v>2022/23</v>
      </c>
      <c r="H19" s="84" t="str">
        <f t="shared" si="1"/>
        <v>2023/24</v>
      </c>
      <c r="I19" s="84" t="str">
        <f t="shared" si="1"/>
        <v>2024/25</v>
      </c>
      <c r="J19" s="84" t="str">
        <f t="shared" si="1"/>
        <v>2025/26</v>
      </c>
    </row>
    <row r="20" spans="2:12" ht="12.75" customHeight="1" x14ac:dyDescent="0.2">
      <c r="C20" s="1" t="s">
        <v>1</v>
      </c>
      <c r="D20" s="120" t="str">
        <f>B19&amp;C20</f>
        <v>Option 2Labour</v>
      </c>
      <c r="E20" s="3"/>
      <c r="F20" s="9">
        <f t="shared" ref="F20:J22" ca="1" si="2">SUMIF(INDIRECT(LEFT($D20,6)&amp;MID($D20,8,1)&amp;"_categories"),$C20,INDEX(INDIRECT(LEFT($D20,6)&amp;MID($D20,8,1)&amp;"_costs"),,MATCH(F$10,years,0)))*Conv_2021</f>
        <v>0</v>
      </c>
      <c r="G20" s="9">
        <f t="shared" ca="1" si="2"/>
        <v>1172015.3217891101</v>
      </c>
      <c r="H20" s="9">
        <f t="shared" ca="1" si="2"/>
        <v>3113241.5276509901</v>
      </c>
      <c r="I20" s="9">
        <f t="shared" ca="1" si="2"/>
        <v>291183.93087928195</v>
      </c>
      <c r="J20" s="9">
        <f t="shared" ca="1" si="2"/>
        <v>0</v>
      </c>
    </row>
    <row r="21" spans="2:12" x14ac:dyDescent="0.2">
      <c r="C21" s="1" t="s">
        <v>0</v>
      </c>
      <c r="D21" s="120" t="str">
        <f>B19&amp;C21</f>
        <v>Option 2Materials</v>
      </c>
      <c r="E21" s="3"/>
      <c r="F21" s="9">
        <f t="shared" ca="1" si="2"/>
        <v>0</v>
      </c>
      <c r="G21" s="9">
        <f t="shared" ca="1" si="2"/>
        <v>548054.86172041611</v>
      </c>
      <c r="H21" s="9">
        <f t="shared" ca="1" si="2"/>
        <v>759863.50393120502</v>
      </c>
      <c r="I21" s="9">
        <f t="shared" ca="1" si="2"/>
        <v>635425.92663236661</v>
      </c>
      <c r="J21" s="9">
        <f t="shared" ca="1" si="2"/>
        <v>0</v>
      </c>
    </row>
    <row r="22" spans="2:12" x14ac:dyDescent="0.2">
      <c r="C22" s="1" t="s">
        <v>3</v>
      </c>
      <c r="D22" s="120" t="str">
        <f>B19&amp;C22</f>
        <v>Option 2Contracts</v>
      </c>
      <c r="F22" s="9">
        <f t="shared" ca="1" si="2"/>
        <v>0</v>
      </c>
      <c r="G22" s="9">
        <f t="shared" ca="1" si="2"/>
        <v>0</v>
      </c>
      <c r="H22" s="9">
        <f t="shared" ca="1" si="2"/>
        <v>2334131.2371628932</v>
      </c>
      <c r="I22" s="9">
        <f t="shared" ca="1" si="2"/>
        <v>0</v>
      </c>
      <c r="J22" s="9">
        <f t="shared" ca="1" si="2"/>
        <v>0</v>
      </c>
    </row>
    <row r="23" spans="2:12" x14ac:dyDescent="0.2">
      <c r="B23" s="100"/>
      <c r="C23" s="25" t="s">
        <v>49</v>
      </c>
      <c r="D23" s="25"/>
      <c r="E23" s="25"/>
      <c r="F23" s="26">
        <f ca="1">SUM(F20:F22)</f>
        <v>0</v>
      </c>
      <c r="G23" s="26">
        <f ca="1">SUM(G20:G22)</f>
        <v>1720070.1835095263</v>
      </c>
      <c r="H23" s="26">
        <f ca="1">SUM(H20:H22)</f>
        <v>6207236.2687450889</v>
      </c>
      <c r="I23" s="26">
        <f ca="1">SUM(I20:I22)</f>
        <v>926609.85751164856</v>
      </c>
      <c r="J23" s="26">
        <f ca="1">SUM(J20:J22)</f>
        <v>0</v>
      </c>
      <c r="L23" s="2"/>
    </row>
    <row r="24" spans="2:12" x14ac:dyDescent="0.2">
      <c r="B24" s="100"/>
    </row>
    <row r="25" spans="2:12" x14ac:dyDescent="0.2">
      <c r="C25" s="156" t="s">
        <v>64</v>
      </c>
      <c r="D25" s="26"/>
      <c r="E25" s="26"/>
      <c r="F25" s="26">
        <f ca="1">NPV(Assumptions!$B$6,F23:J23)</f>
        <v>8182617.9909044243</v>
      </c>
    </row>
    <row r="26" spans="2:12" x14ac:dyDescent="0.2">
      <c r="B26" s="32"/>
      <c r="C26" s="41"/>
      <c r="D26" s="41"/>
      <c r="E26" s="32"/>
      <c r="F26" s="32"/>
      <c r="G26" s="32"/>
      <c r="H26" s="32"/>
      <c r="I26" s="32"/>
      <c r="J26" s="32"/>
    </row>
    <row r="28" spans="2:12" x14ac:dyDescent="0.2">
      <c r="B28" s="32"/>
      <c r="C28" s="41"/>
      <c r="D28" s="41"/>
      <c r="E28" s="32"/>
      <c r="F28" s="32"/>
      <c r="G28" s="32"/>
      <c r="H28" s="32"/>
      <c r="I28" s="32"/>
      <c r="J28" s="32"/>
    </row>
  </sheetData>
  <conditionalFormatting sqref="D7">
    <cfRule type="expression" dxfId="10" priority="1">
      <formula>D7&lt;&gt;TRUE</formula>
    </cfRule>
  </conditionalFormatting>
  <pageMargins left="0.70866141732283472" right="0.70866141732283472" top="0.74803149606299213" bottom="0.74803149606299213" header="0.31496062992125984" footer="0.31496062992125984"/>
  <pageSetup paperSize="9" scale="83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Assumptions!$A$23:$A$26</xm:f>
          </x14:formula1>
          <xm:sqref>D6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0" tint="-0.499984740745262"/>
    <outlinePr summaryBelow="0" summaryRight="0"/>
  </sheetPr>
  <dimension ref="A1:AI104"/>
  <sheetViews>
    <sheetView showGridLines="0" zoomScale="85" zoomScaleNormal="85" workbookViewId="0"/>
  </sheetViews>
  <sheetFormatPr defaultColWidth="14.42578125" defaultRowHeight="15" customHeight="1" x14ac:dyDescent="0.25"/>
  <cols>
    <col min="1" max="1" width="21.5703125" customWidth="1"/>
    <col min="2" max="2" width="13.85546875" customWidth="1"/>
    <col min="4" max="4" width="13.42578125" customWidth="1"/>
    <col min="5" max="5" width="14.42578125" customWidth="1"/>
  </cols>
  <sheetData>
    <row r="1" spans="1:35" ht="21" x14ac:dyDescent="0.35">
      <c r="A1" s="18" t="s">
        <v>103</v>
      </c>
      <c r="B1" s="18"/>
      <c r="C1" s="18"/>
      <c r="D1" s="18"/>
      <c r="E1" s="18"/>
      <c r="F1" s="18"/>
      <c r="G1" s="18"/>
      <c r="H1" s="18"/>
      <c r="I1" s="18"/>
      <c r="J1" s="18"/>
    </row>
    <row r="2" spans="1:35" ht="15.75" x14ac:dyDescent="0.25">
      <c r="A2" s="17" t="s">
        <v>143</v>
      </c>
      <c r="B2" s="17"/>
      <c r="C2" s="17"/>
      <c r="D2" s="17"/>
      <c r="E2" s="17"/>
      <c r="F2" s="17"/>
      <c r="G2" s="17"/>
      <c r="H2" s="17"/>
      <c r="I2" s="17"/>
      <c r="J2" s="17"/>
    </row>
    <row r="3" spans="1:35" s="22" customFormat="1" ht="12.75" customHeight="1" x14ac:dyDescent="0.25">
      <c r="A3" s="37" t="s">
        <v>2</v>
      </c>
      <c r="B3" s="35"/>
      <c r="C3" s="35"/>
      <c r="D3" s="35"/>
      <c r="E3" s="35"/>
      <c r="F3" s="35"/>
      <c r="G3" s="35"/>
      <c r="H3" s="35"/>
      <c r="I3" s="35"/>
      <c r="J3" s="35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</row>
    <row r="4" spans="1:35" s="34" customFormat="1" ht="12.75" customHeight="1" x14ac:dyDescent="0.25">
      <c r="A4" s="33" t="s">
        <v>7</v>
      </c>
      <c r="B4" s="97" t="s">
        <v>2</v>
      </c>
      <c r="C4" s="33" t="s">
        <v>5</v>
      </c>
      <c r="D4" s="33" t="s">
        <v>6</v>
      </c>
    </row>
    <row r="5" spans="1:35" s="34" customFormat="1" ht="12.75" customHeight="1" x14ac:dyDescent="0.25">
      <c r="A5" s="33"/>
      <c r="B5" s="97"/>
      <c r="C5" s="33"/>
      <c r="D5" s="33"/>
    </row>
    <row r="6" spans="1:35" s="34" customFormat="1" ht="12.75" customHeight="1" x14ac:dyDescent="0.25">
      <c r="A6" s="2" t="s">
        <v>13</v>
      </c>
      <c r="B6" s="105">
        <v>2.75E-2</v>
      </c>
      <c r="C6" s="2"/>
      <c r="D6" s="33"/>
    </row>
    <row r="7" spans="1:35" s="34" customFormat="1" ht="12.75" customHeight="1" x14ac:dyDescent="0.25">
      <c r="A7" s="33"/>
      <c r="B7" s="97"/>
      <c r="C7" s="33"/>
      <c r="D7" s="33"/>
    </row>
    <row r="8" spans="1:35" s="34" customFormat="1" ht="12.75" customHeight="1" x14ac:dyDescent="0.25">
      <c r="A8" s="99" t="s">
        <v>34</v>
      </c>
      <c r="B8" s="107">
        <v>2018</v>
      </c>
      <c r="C8" t="s">
        <v>37</v>
      </c>
      <c r="D8" s="33"/>
    </row>
    <row r="9" spans="1:35" s="34" customFormat="1" ht="12.75" customHeight="1" x14ac:dyDescent="0.25">
      <c r="A9" s="99"/>
      <c r="B9" s="99"/>
      <c r="C9" s="99"/>
      <c r="D9" s="99"/>
      <c r="E9" s="99"/>
    </row>
    <row r="10" spans="1:35" ht="12.75" customHeight="1" x14ac:dyDescent="0.25">
      <c r="A10" s="85"/>
      <c r="B10" s="85"/>
      <c r="C10" s="85"/>
      <c r="D10" s="85">
        <v>2015</v>
      </c>
      <c r="E10" s="85">
        <v>2016</v>
      </c>
      <c r="F10" s="85">
        <v>2017</v>
      </c>
      <c r="G10" s="85">
        <v>2018</v>
      </c>
      <c r="H10" s="85">
        <v>2019</v>
      </c>
      <c r="I10" s="86">
        <v>2020</v>
      </c>
      <c r="J10" s="86" t="s">
        <v>35</v>
      </c>
    </row>
    <row r="11" spans="1:35" ht="12.75" customHeight="1" x14ac:dyDescent="0.25">
      <c r="A11" s="159" t="s">
        <v>149</v>
      </c>
      <c r="B11" s="28"/>
      <c r="C11" s="103"/>
      <c r="D11" s="160" t="s">
        <v>156</v>
      </c>
      <c r="E11" s="160" t="s">
        <v>156</v>
      </c>
      <c r="F11" s="160" t="s">
        <v>156</v>
      </c>
      <c r="G11" s="160" t="s">
        <v>156</v>
      </c>
      <c r="H11" s="160" t="s">
        <v>156</v>
      </c>
      <c r="I11" s="160" t="s">
        <v>156</v>
      </c>
      <c r="J11" s="160" t="s">
        <v>157</v>
      </c>
    </row>
    <row r="12" spans="1:35" ht="12.75" customHeight="1" x14ac:dyDescent="0.25">
      <c r="A12" s="161" t="s">
        <v>150</v>
      </c>
      <c r="B12" s="4"/>
      <c r="C12" s="161"/>
      <c r="D12" s="162" t="s">
        <v>29</v>
      </c>
      <c r="E12" s="162" t="s">
        <v>29</v>
      </c>
      <c r="F12" s="162" t="s">
        <v>29</v>
      </c>
      <c r="G12" s="162" t="s">
        <v>29</v>
      </c>
      <c r="H12" s="162" t="s">
        <v>29</v>
      </c>
      <c r="I12" s="163" t="s">
        <v>30</v>
      </c>
      <c r="J12" s="163" t="s">
        <v>30</v>
      </c>
    </row>
    <row r="13" spans="1:35" ht="12.75" customHeight="1" x14ac:dyDescent="0.25">
      <c r="A13" s="100" t="s">
        <v>151</v>
      </c>
      <c r="B13" s="100"/>
      <c r="C13" s="87"/>
      <c r="D13" s="88"/>
      <c r="E13" s="105">
        <v>1.0232558139534831E-2</v>
      </c>
      <c r="F13" s="105">
        <v>1.9337016574585641E-2</v>
      </c>
      <c r="G13" s="105">
        <v>2.0776874435411097E-2</v>
      </c>
      <c r="H13" s="105">
        <v>1.5929203539823078E-2</v>
      </c>
      <c r="I13" s="105">
        <v>2.000000000000024E-2</v>
      </c>
      <c r="J13" s="105">
        <v>2.1998043050963867E-2</v>
      </c>
    </row>
    <row r="14" spans="1:35" ht="12.75" customHeight="1" x14ac:dyDescent="0.25">
      <c r="A14" s="94" t="s">
        <v>31</v>
      </c>
      <c r="B14" s="92"/>
      <c r="C14" s="92"/>
      <c r="D14" s="106">
        <v>1</v>
      </c>
      <c r="E14" s="95">
        <f t="shared" ref="E14:J14" si="0">D14*(1+E13)</f>
        <v>1.0102325581395348</v>
      </c>
      <c r="F14" s="95">
        <f t="shared" si="0"/>
        <v>1.029767441860465</v>
      </c>
      <c r="G14" s="95">
        <f t="shared" si="0"/>
        <v>1.0511627906976744</v>
      </c>
      <c r="H14" s="95">
        <f t="shared" si="0"/>
        <v>1.067906976744186</v>
      </c>
      <c r="I14" s="95">
        <f t="shared" si="0"/>
        <v>1.0892651162790701</v>
      </c>
      <c r="J14" s="95">
        <f t="shared" si="0"/>
        <v>1.1132268172008901</v>
      </c>
    </row>
    <row r="15" spans="1:35" ht="12.75" customHeight="1" x14ac:dyDescent="0.25">
      <c r="A15" s="92"/>
      <c r="B15" s="92"/>
      <c r="C15" s="92"/>
      <c r="D15" s="93"/>
      <c r="E15" s="93"/>
      <c r="F15" s="93"/>
      <c r="G15" s="93"/>
      <c r="H15" s="93"/>
    </row>
    <row r="16" spans="1:35" ht="12.75" customHeight="1" x14ac:dyDescent="0.25">
      <c r="A16" s="99" t="s">
        <v>36</v>
      </c>
      <c r="B16" s="98">
        <v>2018</v>
      </c>
      <c r="C16" s="100" t="s">
        <v>37</v>
      </c>
      <c r="G16" s="89"/>
      <c r="H16" s="89"/>
    </row>
    <row r="17" spans="1:8" ht="12.75" customHeight="1" x14ac:dyDescent="0.25">
      <c r="A17" s="99" t="s">
        <v>33</v>
      </c>
      <c r="B17" s="104" t="s">
        <v>35</v>
      </c>
      <c r="C17" s="100" t="s">
        <v>38</v>
      </c>
      <c r="G17" s="89"/>
      <c r="H17" s="89"/>
    </row>
    <row r="18" spans="1:8" ht="12.75" customHeight="1" x14ac:dyDescent="0.25">
      <c r="A18" s="99" t="s">
        <v>32</v>
      </c>
      <c r="B18" s="96">
        <f>INDEX($D$14:$J$14, MATCH(B17, $D$10:$J$10,0))/INDEX($D$14:$J$14, MATCH(B16, $D$10:$J$10,0))</f>
        <v>1.0590432110539443</v>
      </c>
      <c r="C18" s="116"/>
      <c r="D18" s="90"/>
      <c r="E18" s="87"/>
      <c r="F18" s="87"/>
      <c r="G18" s="87"/>
      <c r="H18" s="87"/>
    </row>
    <row r="19" spans="1:8" ht="12.75" customHeight="1" x14ac:dyDescent="0.25">
      <c r="A19" s="89"/>
      <c r="B19" s="91"/>
      <c r="C19" s="91"/>
      <c r="D19" s="91"/>
      <c r="E19" s="91"/>
      <c r="F19" s="91"/>
      <c r="G19" s="91"/>
      <c r="H19" s="89"/>
    </row>
    <row r="20" spans="1:8" ht="12.75" customHeight="1" x14ac:dyDescent="0.25"/>
    <row r="21" spans="1:8" ht="12.75" customHeight="1" x14ac:dyDescent="0.25"/>
    <row r="22" spans="1:8" ht="12.75" customHeight="1" x14ac:dyDescent="0.25">
      <c r="A22" s="126" t="s">
        <v>88</v>
      </c>
    </row>
    <row r="23" spans="1:8" ht="12.75" customHeight="1" x14ac:dyDescent="0.25">
      <c r="A23" s="99" t="str">
        <f>'Option 1'!A3</f>
        <v>Option 1</v>
      </c>
      <c r="B23" s="99"/>
    </row>
    <row r="24" spans="1:8" ht="12.75" customHeight="1" x14ac:dyDescent="0.25">
      <c r="A24" s="99" t="str">
        <f>'Option 2'!A3</f>
        <v>Option 2</v>
      </c>
      <c r="B24" s="99"/>
    </row>
    <row r="25" spans="1:8" ht="12.75" customHeight="1" x14ac:dyDescent="0.25">
      <c r="A25" s="99"/>
      <c r="B25" s="99"/>
    </row>
    <row r="26" spans="1:8" ht="12.75" customHeight="1" x14ac:dyDescent="0.25"/>
    <row r="27" spans="1:8" ht="12.75" customHeight="1" x14ac:dyDescent="0.25"/>
    <row r="28" spans="1:8" ht="12.75" customHeight="1" x14ac:dyDescent="0.25"/>
    <row r="29" spans="1:8" ht="12.75" customHeight="1" x14ac:dyDescent="0.25"/>
    <row r="30" spans="1:8" ht="12.75" customHeight="1" x14ac:dyDescent="0.25"/>
    <row r="31" spans="1:8" ht="12.75" customHeight="1" x14ac:dyDescent="0.25"/>
    <row r="32" spans="1:8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  <row r="43" ht="12.75" customHeight="1" x14ac:dyDescent="0.25"/>
    <row r="44" ht="12.75" customHeight="1" x14ac:dyDescent="0.25"/>
    <row r="45" ht="12.75" customHeight="1" x14ac:dyDescent="0.25"/>
    <row r="46" ht="12.75" customHeight="1" x14ac:dyDescent="0.25"/>
    <row r="47" ht="12.75" customHeight="1" x14ac:dyDescent="0.25"/>
    <row r="48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</sheetData>
  <dataValidations disablePrompts="1" count="1">
    <dataValidation type="list" allowBlank="1" showInputMessage="1" showErrorMessage="1" sqref="B16:B17 B8">
      <formula1>$D$10:$J$10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Y51"/>
  <sheetViews>
    <sheetView showGridLines="0" zoomScale="90" zoomScaleNormal="90" workbookViewId="0"/>
  </sheetViews>
  <sheetFormatPr defaultColWidth="9.140625" defaultRowHeight="12.75" x14ac:dyDescent="0.2"/>
  <cols>
    <col min="1" max="1" width="4.28515625" style="1" customWidth="1"/>
    <col min="2" max="2" width="2.7109375" style="1" customWidth="1"/>
    <col min="3" max="3" width="78.42578125" style="1" bestFit="1" customWidth="1"/>
    <col min="4" max="5" width="11.140625" style="1" customWidth="1"/>
    <col min="6" max="6" width="2.85546875" style="1" customWidth="1"/>
    <col min="7" max="7" width="12.140625" style="1" customWidth="1"/>
    <col min="8" max="8" width="10" style="12" customWidth="1"/>
    <col min="9" max="9" width="2.85546875" style="1" customWidth="1"/>
    <col min="10" max="14" width="12.140625" style="1" customWidth="1"/>
    <col min="15" max="15" width="2.85546875" style="1" customWidth="1"/>
    <col min="16" max="20" width="12.140625" style="1" customWidth="1"/>
    <col min="21" max="21" width="2.140625" style="1" customWidth="1"/>
    <col min="22" max="16384" width="9.140625" style="1"/>
  </cols>
  <sheetData>
    <row r="1" spans="1:25" ht="21" x14ac:dyDescent="0.35">
      <c r="A1" s="18" t="str">
        <f>Assumptions!A1</f>
        <v>Intelligent Engineering</v>
      </c>
      <c r="B1" s="18"/>
      <c r="C1" s="15"/>
      <c r="D1" s="15"/>
      <c r="E1" s="15"/>
      <c r="F1" s="15"/>
      <c r="G1" s="15"/>
      <c r="H1" s="16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</row>
    <row r="2" spans="1:25" ht="15.75" x14ac:dyDescent="0.25">
      <c r="A2" s="17" t="str">
        <f>Assumptions!A2</f>
        <v>VPN</v>
      </c>
      <c r="B2" s="17"/>
      <c r="C2" s="15"/>
      <c r="D2" s="15"/>
      <c r="E2" s="15"/>
      <c r="F2" s="15"/>
      <c r="G2" s="15"/>
      <c r="H2" s="16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</row>
    <row r="3" spans="1:25" s="39" customFormat="1" ht="15" x14ac:dyDescent="0.25">
      <c r="A3" s="37" t="s">
        <v>28</v>
      </c>
      <c r="B3" s="37"/>
      <c r="C3" s="37"/>
      <c r="D3" s="37"/>
      <c r="E3" s="37"/>
      <c r="F3" s="37"/>
      <c r="G3" s="37"/>
      <c r="H3" s="38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V3" s="119" t="b">
        <f>SUM(V7:V44)=0</f>
        <v>1</v>
      </c>
    </row>
    <row r="4" spans="1:25" s="2" customFormat="1" ht="12.75" customHeight="1" x14ac:dyDescent="0.25">
      <c r="B4" s="19"/>
      <c r="C4" s="20"/>
      <c r="D4" s="20"/>
      <c r="E4" s="20"/>
      <c r="F4" s="20"/>
      <c r="G4" s="20"/>
      <c r="H4" s="21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</row>
    <row r="5" spans="1:25" s="2" customFormat="1" ht="12.75" customHeight="1" x14ac:dyDescent="0.2">
      <c r="A5" s="2" t="str">
        <f>"Inputs are in $"&amp;Assumptions!$B$8&amp; " unless otherwise stated"</f>
        <v>Inputs are in $2018 unless otherwise stated</v>
      </c>
      <c r="B5" s="22"/>
      <c r="C5" s="20"/>
      <c r="D5" s="20"/>
      <c r="E5" s="20"/>
      <c r="F5" s="20"/>
      <c r="G5" s="20"/>
      <c r="H5" s="21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</row>
    <row r="6" spans="1:25" ht="12.75" customHeight="1" x14ac:dyDescent="0.2">
      <c r="A6" s="7"/>
      <c r="F6" s="20"/>
    </row>
    <row r="7" spans="1:25" ht="12.75" customHeight="1" x14ac:dyDescent="0.2">
      <c r="A7" s="7"/>
      <c r="B7" s="100"/>
      <c r="C7" s="121" t="s">
        <v>45</v>
      </c>
      <c r="D7" s="23" t="s">
        <v>22</v>
      </c>
      <c r="E7" s="23" t="s">
        <v>8</v>
      </c>
      <c r="F7" s="20"/>
      <c r="G7" s="23" t="s">
        <v>14</v>
      </c>
      <c r="H7" s="23" t="s">
        <v>9</v>
      </c>
      <c r="I7" s="100"/>
      <c r="J7" s="23" t="s">
        <v>44</v>
      </c>
      <c r="K7" s="24"/>
      <c r="L7" s="24"/>
      <c r="M7" s="24"/>
      <c r="N7" s="24"/>
      <c r="O7" s="4"/>
      <c r="P7" s="23" t="s">
        <v>10</v>
      </c>
      <c r="Q7" s="24"/>
      <c r="R7" s="24"/>
      <c r="S7" s="24"/>
      <c r="T7" s="24"/>
    </row>
    <row r="8" spans="1:25" s="100" customFormat="1" ht="12.75" customHeight="1" x14ac:dyDescent="0.2">
      <c r="A8" s="7"/>
      <c r="B8" s="7"/>
      <c r="C8" s="7"/>
      <c r="D8" s="7"/>
      <c r="E8" s="7"/>
      <c r="F8" s="20"/>
      <c r="G8" s="7"/>
      <c r="H8" s="7"/>
      <c r="I8" s="4"/>
      <c r="J8" s="122" t="s">
        <v>15</v>
      </c>
      <c r="K8" s="122" t="s">
        <v>16</v>
      </c>
      <c r="L8" s="122" t="s">
        <v>17</v>
      </c>
      <c r="M8" s="122" t="s">
        <v>18</v>
      </c>
      <c r="N8" s="122" t="s">
        <v>19</v>
      </c>
      <c r="O8" s="4"/>
      <c r="P8" s="122" t="s">
        <v>15</v>
      </c>
      <c r="Q8" s="122" t="s">
        <v>16</v>
      </c>
      <c r="R8" s="122" t="s">
        <v>17</v>
      </c>
      <c r="S8" s="122" t="s">
        <v>18</v>
      </c>
      <c r="T8" s="122" t="s">
        <v>19</v>
      </c>
    </row>
    <row r="9" spans="1:25" ht="12.75" customHeight="1" x14ac:dyDescent="0.2">
      <c r="A9" s="100"/>
      <c r="B9" s="100"/>
      <c r="C9" s="4"/>
      <c r="D9" s="4"/>
      <c r="E9" s="4"/>
      <c r="F9" s="20"/>
      <c r="G9" s="100"/>
      <c r="I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</row>
    <row r="10" spans="1:25" ht="12.75" customHeight="1" x14ac:dyDescent="0.2">
      <c r="A10" s="7"/>
      <c r="C10" s="108" t="s">
        <v>104</v>
      </c>
      <c r="D10" s="109" t="s">
        <v>4</v>
      </c>
      <c r="E10" s="110" t="s">
        <v>1</v>
      </c>
      <c r="F10" s="3"/>
      <c r="G10" s="111">
        <v>122.2</v>
      </c>
      <c r="H10" s="12" t="s">
        <v>41</v>
      </c>
      <c r="I10" s="3"/>
      <c r="J10" s="112"/>
      <c r="K10" s="112"/>
      <c r="L10" s="112">
        <v>2850</v>
      </c>
      <c r="M10" s="112"/>
      <c r="N10" s="112"/>
      <c r="O10" s="3"/>
      <c r="P10" s="8">
        <f t="shared" ref="P10" si="0">J10*$G10</f>
        <v>0</v>
      </c>
      <c r="Q10" s="8">
        <f t="shared" ref="Q10" si="1">K10*$G10</f>
        <v>0</v>
      </c>
      <c r="R10" s="8">
        <f t="shared" ref="R10" si="2">L10*$G10</f>
        <v>348270</v>
      </c>
      <c r="S10" s="8">
        <f t="shared" ref="S10" si="3">M10*$G10</f>
        <v>0</v>
      </c>
      <c r="T10" s="8">
        <f t="shared" ref="T10" si="4">N10*$G10</f>
        <v>0</v>
      </c>
    </row>
    <row r="11" spans="1:25" s="100" customFormat="1" ht="12.75" customHeight="1" x14ac:dyDescent="0.2">
      <c r="A11" s="7"/>
      <c r="C11" s="108" t="s">
        <v>105</v>
      </c>
      <c r="D11" s="109" t="s">
        <v>4</v>
      </c>
      <c r="E11" s="110" t="s">
        <v>1</v>
      </c>
      <c r="F11" s="3"/>
      <c r="G11" s="111">
        <v>122.2</v>
      </c>
      <c r="H11" s="12" t="s">
        <v>41</v>
      </c>
      <c r="I11" s="3"/>
      <c r="J11" s="112"/>
      <c r="K11" s="112"/>
      <c r="L11" s="112">
        <v>3150</v>
      </c>
      <c r="M11" s="112"/>
      <c r="N11" s="112"/>
      <c r="O11" s="3"/>
      <c r="P11" s="8">
        <f t="shared" ref="P11:P15" si="5">J11*$G11</f>
        <v>0</v>
      </c>
      <c r="Q11" s="8">
        <f t="shared" ref="Q11:Q15" si="6">K11*$G11</f>
        <v>0</v>
      </c>
      <c r="R11" s="8">
        <f t="shared" ref="R11:R15" si="7">L11*$G11</f>
        <v>384930</v>
      </c>
      <c r="S11" s="8">
        <f t="shared" ref="S11:S15" si="8">M11*$G11</f>
        <v>0</v>
      </c>
      <c r="T11" s="8">
        <f t="shared" ref="T11:T15" si="9">N11*$G11</f>
        <v>0</v>
      </c>
    </row>
    <row r="12" spans="1:25" s="100" customFormat="1" ht="12.75" customHeight="1" x14ac:dyDescent="0.2">
      <c r="A12" s="7"/>
      <c r="C12" s="108" t="s">
        <v>106</v>
      </c>
      <c r="D12" s="109" t="s">
        <v>4</v>
      </c>
      <c r="E12" s="110" t="s">
        <v>1</v>
      </c>
      <c r="F12" s="3"/>
      <c r="G12" s="111">
        <v>122.2</v>
      </c>
      <c r="H12" s="12" t="s">
        <v>41</v>
      </c>
      <c r="I12" s="3"/>
      <c r="J12" s="112"/>
      <c r="K12" s="112">
        <v>9056.25</v>
      </c>
      <c r="L12" s="112">
        <v>9056.25</v>
      </c>
      <c r="M12" s="112"/>
      <c r="N12" s="112"/>
      <c r="O12" s="3"/>
      <c r="P12" s="8">
        <f t="shared" si="5"/>
        <v>0</v>
      </c>
      <c r="Q12" s="8">
        <f t="shared" si="6"/>
        <v>1106673.75</v>
      </c>
      <c r="R12" s="8">
        <f t="shared" si="7"/>
        <v>1106673.75</v>
      </c>
      <c r="S12" s="8">
        <f t="shared" si="8"/>
        <v>0</v>
      </c>
      <c r="T12" s="8">
        <f t="shared" si="9"/>
        <v>0</v>
      </c>
    </row>
    <row r="13" spans="1:25" s="100" customFormat="1" ht="12.75" customHeight="1" x14ac:dyDescent="0.2">
      <c r="A13" s="7"/>
      <c r="C13" s="108" t="s">
        <v>107</v>
      </c>
      <c r="D13" s="109" t="s">
        <v>4</v>
      </c>
      <c r="E13" s="110" t="s">
        <v>1</v>
      </c>
      <c r="F13" s="3"/>
      <c r="G13" s="111">
        <v>122.2</v>
      </c>
      <c r="H13" s="12" t="s">
        <v>41</v>
      </c>
      <c r="I13" s="3"/>
      <c r="J13" s="112"/>
      <c r="K13" s="112"/>
      <c r="L13" s="112">
        <v>1500</v>
      </c>
      <c r="M13" s="112"/>
      <c r="N13" s="112"/>
      <c r="O13" s="3"/>
      <c r="P13" s="8">
        <f t="shared" si="5"/>
        <v>0</v>
      </c>
      <c r="Q13" s="8">
        <f t="shared" si="6"/>
        <v>0</v>
      </c>
      <c r="R13" s="8">
        <f t="shared" si="7"/>
        <v>183300</v>
      </c>
      <c r="S13" s="8">
        <f t="shared" si="8"/>
        <v>0</v>
      </c>
      <c r="T13" s="8">
        <f t="shared" si="9"/>
        <v>0</v>
      </c>
    </row>
    <row r="14" spans="1:25" s="100" customFormat="1" ht="12.75" customHeight="1" x14ac:dyDescent="0.2">
      <c r="A14" s="7"/>
      <c r="C14" s="108" t="s">
        <v>108</v>
      </c>
      <c r="D14" s="109" t="s">
        <v>4</v>
      </c>
      <c r="E14" s="110" t="s">
        <v>1</v>
      </c>
      <c r="F14" s="3"/>
      <c r="G14" s="111">
        <v>122.2</v>
      </c>
      <c r="H14" s="12" t="s">
        <v>41</v>
      </c>
      <c r="I14" s="3"/>
      <c r="J14" s="112"/>
      <c r="K14" s="112"/>
      <c r="L14" s="112">
        <v>7500</v>
      </c>
      <c r="M14" s="112"/>
      <c r="N14" s="112"/>
      <c r="O14" s="3"/>
      <c r="P14" s="8">
        <f t="shared" si="5"/>
        <v>0</v>
      </c>
      <c r="Q14" s="8">
        <f t="shared" si="6"/>
        <v>0</v>
      </c>
      <c r="R14" s="8">
        <f t="shared" si="7"/>
        <v>916500</v>
      </c>
      <c r="S14" s="8">
        <f t="shared" si="8"/>
        <v>0</v>
      </c>
      <c r="T14" s="8">
        <f t="shared" si="9"/>
        <v>0</v>
      </c>
    </row>
    <row r="15" spans="1:25" s="100" customFormat="1" ht="12.75" customHeight="1" x14ac:dyDescent="0.2">
      <c r="A15" s="7"/>
      <c r="C15" s="108"/>
      <c r="D15" s="109"/>
      <c r="E15" s="110"/>
      <c r="F15" s="3"/>
      <c r="G15" s="111"/>
      <c r="H15" s="12" t="s">
        <v>41</v>
      </c>
      <c r="I15" s="3"/>
      <c r="J15" s="112"/>
      <c r="K15" s="112"/>
      <c r="L15" s="112"/>
      <c r="M15" s="112"/>
      <c r="N15" s="112"/>
      <c r="O15" s="3"/>
      <c r="P15" s="8">
        <f t="shared" si="5"/>
        <v>0</v>
      </c>
      <c r="Q15" s="8">
        <f t="shared" si="6"/>
        <v>0</v>
      </c>
      <c r="R15" s="8">
        <f t="shared" si="7"/>
        <v>0</v>
      </c>
      <c r="S15" s="8">
        <f t="shared" si="8"/>
        <v>0</v>
      </c>
      <c r="T15" s="8">
        <f t="shared" si="9"/>
        <v>0</v>
      </c>
    </row>
    <row r="16" spans="1:25" ht="12.75" customHeight="1" x14ac:dyDescent="0.25">
      <c r="A16" s="7"/>
      <c r="C16" s="100"/>
      <c r="D16" s="100"/>
      <c r="E16" s="100"/>
      <c r="F16" s="3"/>
      <c r="G16" s="100"/>
      <c r="I16" s="3"/>
      <c r="J16" s="100"/>
      <c r="K16" s="100"/>
      <c r="L16" s="100"/>
      <c r="M16" s="100"/>
      <c r="N16" s="100"/>
      <c r="O16" s="3"/>
      <c r="Y16"/>
    </row>
    <row r="17" spans="1:25" ht="12.75" customHeight="1" x14ac:dyDescent="0.25">
      <c r="A17" s="7"/>
      <c r="C17" s="100"/>
      <c r="D17" s="100"/>
      <c r="E17" s="100"/>
      <c r="F17" s="3"/>
      <c r="G17" s="100"/>
      <c r="I17" s="3"/>
      <c r="J17" s="100"/>
      <c r="K17" s="100"/>
      <c r="L17" s="100"/>
      <c r="M17" s="100"/>
      <c r="N17" s="100"/>
      <c r="O17" s="3"/>
      <c r="Y17"/>
    </row>
    <row r="18" spans="1:25" ht="12.75" customHeight="1" x14ac:dyDescent="0.25">
      <c r="A18" s="7"/>
      <c r="C18" s="115" t="s">
        <v>109</v>
      </c>
      <c r="D18" s="109" t="s">
        <v>4</v>
      </c>
      <c r="E18" s="110" t="s">
        <v>0</v>
      </c>
      <c r="F18" s="3"/>
      <c r="G18" s="123">
        <v>200000</v>
      </c>
      <c r="H18" s="12" t="s">
        <v>42</v>
      </c>
      <c r="I18" s="3"/>
      <c r="J18" s="112"/>
      <c r="K18" s="133"/>
      <c r="L18" s="133">
        <v>1</v>
      </c>
      <c r="M18" s="112"/>
      <c r="N18" s="112"/>
      <c r="O18" s="3"/>
      <c r="P18" s="8">
        <f t="shared" ref="P18" si="10">J18*$G18</f>
        <v>0</v>
      </c>
      <c r="Q18" s="8">
        <f t="shared" ref="Q18" si="11">K18*$G18</f>
        <v>0</v>
      </c>
      <c r="R18" s="8">
        <f t="shared" ref="R18" si="12">L18*$G18</f>
        <v>200000</v>
      </c>
      <c r="S18" s="8">
        <f t="shared" ref="S18" si="13">M18*$G18</f>
        <v>0</v>
      </c>
      <c r="T18" s="8">
        <f t="shared" ref="T18" si="14">N18*$G18</f>
        <v>0</v>
      </c>
      <c r="Y18"/>
    </row>
    <row r="19" spans="1:25" s="100" customFormat="1" ht="12.75" customHeight="1" x14ac:dyDescent="0.25">
      <c r="A19" s="7"/>
      <c r="C19" s="115" t="s">
        <v>110</v>
      </c>
      <c r="D19" s="109" t="s">
        <v>4</v>
      </c>
      <c r="E19" s="110" t="s">
        <v>0</v>
      </c>
      <c r="F19" s="3"/>
      <c r="G19" s="123">
        <v>2070000</v>
      </c>
      <c r="H19" s="12" t="s">
        <v>42</v>
      </c>
      <c r="I19" s="3"/>
      <c r="J19" s="112"/>
      <c r="K19" s="133">
        <v>0.25</v>
      </c>
      <c r="L19" s="133">
        <v>0.25</v>
      </c>
      <c r="M19" s="112"/>
      <c r="N19" s="112"/>
      <c r="O19" s="3"/>
      <c r="P19" s="8">
        <f t="shared" ref="P19:P21" si="15">J19*$G19</f>
        <v>0</v>
      </c>
      <c r="Q19" s="8">
        <f t="shared" ref="Q19:Q21" si="16">K19*$G19</f>
        <v>517500</v>
      </c>
      <c r="R19" s="8">
        <f t="shared" ref="R19:R21" si="17">L19*$G19</f>
        <v>517500</v>
      </c>
      <c r="S19" s="8">
        <f t="shared" ref="S19:S21" si="18">M19*$G19</f>
        <v>0</v>
      </c>
      <c r="T19" s="8">
        <f t="shared" ref="T19:T21" si="19">N19*$G19</f>
        <v>0</v>
      </c>
      <c r="Y19"/>
    </row>
    <row r="20" spans="1:25" s="100" customFormat="1" ht="12.75" customHeight="1" x14ac:dyDescent="0.25">
      <c r="A20" s="7"/>
      <c r="C20" s="115"/>
      <c r="D20" s="109" t="s">
        <v>4</v>
      </c>
      <c r="E20" s="110" t="s">
        <v>0</v>
      </c>
      <c r="F20" s="3"/>
      <c r="G20" s="123"/>
      <c r="H20" s="12" t="s">
        <v>42</v>
      </c>
      <c r="I20" s="3"/>
      <c r="J20" s="112"/>
      <c r="K20" s="112"/>
      <c r="L20" s="112"/>
      <c r="M20" s="112"/>
      <c r="N20" s="112"/>
      <c r="O20" s="3"/>
      <c r="P20" s="8">
        <f t="shared" si="15"/>
        <v>0</v>
      </c>
      <c r="Q20" s="8">
        <f t="shared" si="16"/>
        <v>0</v>
      </c>
      <c r="R20" s="8">
        <f t="shared" si="17"/>
        <v>0</v>
      </c>
      <c r="S20" s="8">
        <f t="shared" si="18"/>
        <v>0</v>
      </c>
      <c r="T20" s="8">
        <f t="shared" si="19"/>
        <v>0</v>
      </c>
      <c r="Y20"/>
    </row>
    <row r="21" spans="1:25" s="100" customFormat="1" ht="12.75" customHeight="1" x14ac:dyDescent="0.25">
      <c r="A21" s="7"/>
      <c r="C21" s="115"/>
      <c r="D21" s="109" t="s">
        <v>4</v>
      </c>
      <c r="E21" s="110" t="s">
        <v>0</v>
      </c>
      <c r="F21" s="3"/>
      <c r="G21" s="123"/>
      <c r="H21" s="12" t="s">
        <v>42</v>
      </c>
      <c r="I21" s="3"/>
      <c r="J21" s="112"/>
      <c r="K21" s="112"/>
      <c r="L21" s="112"/>
      <c r="M21" s="112"/>
      <c r="N21" s="112"/>
      <c r="O21" s="3"/>
      <c r="P21" s="8">
        <f t="shared" si="15"/>
        <v>0</v>
      </c>
      <c r="Q21" s="8">
        <f t="shared" si="16"/>
        <v>0</v>
      </c>
      <c r="R21" s="8">
        <f t="shared" si="17"/>
        <v>0</v>
      </c>
      <c r="S21" s="8">
        <f t="shared" si="18"/>
        <v>0</v>
      </c>
      <c r="T21" s="8">
        <f t="shared" si="19"/>
        <v>0</v>
      </c>
      <c r="Y21"/>
    </row>
    <row r="22" spans="1:25" s="100" customFormat="1" ht="12.75" customHeight="1" x14ac:dyDescent="0.25">
      <c r="A22" s="7"/>
      <c r="C22" s="115"/>
      <c r="D22" s="109" t="s">
        <v>4</v>
      </c>
      <c r="E22" s="110" t="s">
        <v>0</v>
      </c>
      <c r="F22" s="3"/>
      <c r="G22" s="123"/>
      <c r="H22" s="12" t="s">
        <v>42</v>
      </c>
      <c r="I22" s="3"/>
      <c r="J22" s="112"/>
      <c r="K22" s="112"/>
      <c r="L22" s="112"/>
      <c r="M22" s="112"/>
      <c r="N22" s="112"/>
      <c r="O22" s="3"/>
      <c r="P22" s="8">
        <f t="shared" ref="P22:P25" si="20">J22*$G22</f>
        <v>0</v>
      </c>
      <c r="Q22" s="8">
        <f t="shared" ref="Q22:Q25" si="21">K22*$G22</f>
        <v>0</v>
      </c>
      <c r="R22" s="8">
        <f t="shared" ref="R22:R25" si="22">L22*$G22</f>
        <v>0</v>
      </c>
      <c r="S22" s="8">
        <f t="shared" ref="S22:S25" si="23">M22*$G22</f>
        <v>0</v>
      </c>
      <c r="T22" s="8">
        <f t="shared" ref="T22:T25" si="24">N22*$G22</f>
        <v>0</v>
      </c>
      <c r="Y22"/>
    </row>
    <row r="23" spans="1:25" s="100" customFormat="1" ht="12.75" customHeight="1" x14ac:dyDescent="0.25">
      <c r="A23" s="7"/>
      <c r="C23" s="115"/>
      <c r="D23" s="109" t="s">
        <v>4</v>
      </c>
      <c r="E23" s="110" t="s">
        <v>0</v>
      </c>
      <c r="F23" s="3"/>
      <c r="G23" s="123"/>
      <c r="H23" s="12" t="s">
        <v>42</v>
      </c>
      <c r="I23" s="3"/>
      <c r="J23" s="112"/>
      <c r="K23" s="112"/>
      <c r="L23" s="112"/>
      <c r="M23" s="112"/>
      <c r="N23" s="112"/>
      <c r="O23" s="3"/>
      <c r="P23" s="8">
        <f t="shared" ref="P23" si="25">J23*$G23</f>
        <v>0</v>
      </c>
      <c r="Q23" s="8">
        <f t="shared" ref="Q23" si="26">K23*$G23</f>
        <v>0</v>
      </c>
      <c r="R23" s="8">
        <f t="shared" ref="R23" si="27">L23*$G23</f>
        <v>0</v>
      </c>
      <c r="S23" s="8">
        <f t="shared" ref="S23" si="28">M23*$G23</f>
        <v>0</v>
      </c>
      <c r="T23" s="8">
        <f t="shared" ref="T23" si="29">N23*$G23</f>
        <v>0</v>
      </c>
      <c r="Y23"/>
    </row>
    <row r="24" spans="1:25" s="100" customFormat="1" ht="12.75" customHeight="1" x14ac:dyDescent="0.25">
      <c r="A24" s="7"/>
      <c r="C24" s="115"/>
      <c r="D24" s="109" t="s">
        <v>4</v>
      </c>
      <c r="E24" s="110" t="s">
        <v>0</v>
      </c>
      <c r="F24" s="3"/>
      <c r="G24" s="123"/>
      <c r="H24" s="12" t="s">
        <v>42</v>
      </c>
      <c r="I24" s="3"/>
      <c r="J24" s="112"/>
      <c r="K24" s="112"/>
      <c r="L24" s="112"/>
      <c r="M24" s="112"/>
      <c r="N24" s="112"/>
      <c r="O24" s="3"/>
      <c r="P24" s="8">
        <f t="shared" si="20"/>
        <v>0</v>
      </c>
      <c r="Q24" s="8">
        <f t="shared" si="21"/>
        <v>0</v>
      </c>
      <c r="R24" s="8">
        <f t="shared" si="22"/>
        <v>0</v>
      </c>
      <c r="S24" s="8">
        <f t="shared" si="23"/>
        <v>0</v>
      </c>
      <c r="T24" s="8">
        <f t="shared" si="24"/>
        <v>0</v>
      </c>
      <c r="Y24"/>
    </row>
    <row r="25" spans="1:25" ht="12.75" customHeight="1" x14ac:dyDescent="0.25">
      <c r="A25" s="7"/>
      <c r="C25" s="115"/>
      <c r="D25" s="109" t="s">
        <v>4</v>
      </c>
      <c r="E25" s="110" t="s">
        <v>0</v>
      </c>
      <c r="F25" s="3"/>
      <c r="G25" s="123"/>
      <c r="H25" s="12" t="s">
        <v>42</v>
      </c>
      <c r="I25" s="3"/>
      <c r="J25" s="112"/>
      <c r="K25" s="112"/>
      <c r="L25" s="112"/>
      <c r="M25" s="112"/>
      <c r="N25" s="112"/>
      <c r="O25" s="3"/>
      <c r="P25" s="8">
        <f t="shared" si="20"/>
        <v>0</v>
      </c>
      <c r="Q25" s="8">
        <f t="shared" si="21"/>
        <v>0</v>
      </c>
      <c r="R25" s="8">
        <f t="shared" si="22"/>
        <v>0</v>
      </c>
      <c r="S25" s="8">
        <f t="shared" si="23"/>
        <v>0</v>
      </c>
      <c r="T25" s="8">
        <f t="shared" si="24"/>
        <v>0</v>
      </c>
      <c r="Y25"/>
    </row>
    <row r="26" spans="1:25" ht="12.75" customHeight="1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Y26"/>
    </row>
    <row r="27" spans="1:25" ht="12.75" customHeight="1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Y27"/>
    </row>
    <row r="28" spans="1:25" ht="12.75" customHeight="1" x14ac:dyDescent="0.2">
      <c r="A28" s="7"/>
      <c r="C28" s="108" t="s">
        <v>112</v>
      </c>
      <c r="D28" s="109" t="s">
        <v>4</v>
      </c>
      <c r="E28" s="110" t="s">
        <v>3</v>
      </c>
      <c r="F28" s="100"/>
      <c r="G28" s="6"/>
      <c r="H28" s="13" t="s">
        <v>43</v>
      </c>
      <c r="I28" s="100"/>
      <c r="J28" s="113"/>
      <c r="K28" s="114"/>
      <c r="L28" s="112">
        <v>1100000</v>
      </c>
      <c r="M28" s="114"/>
      <c r="N28" s="113"/>
      <c r="P28" s="8">
        <f t="shared" ref="P28" si="30">J28</f>
        <v>0</v>
      </c>
      <c r="Q28" s="8">
        <f t="shared" ref="Q28" si="31">K28</f>
        <v>0</v>
      </c>
      <c r="R28" s="8">
        <f t="shared" ref="R28" si="32">L28</f>
        <v>1100000</v>
      </c>
      <c r="S28" s="8">
        <f t="shared" ref="S28" si="33">M28</f>
        <v>0</v>
      </c>
      <c r="T28" s="8">
        <f t="shared" ref="T28" si="34">N28</f>
        <v>0</v>
      </c>
    </row>
    <row r="29" spans="1:25" s="100" customFormat="1" ht="12.75" customHeight="1" x14ac:dyDescent="0.2">
      <c r="A29" s="7"/>
      <c r="C29" s="108" t="s">
        <v>111</v>
      </c>
      <c r="D29" s="109" t="s">
        <v>4</v>
      </c>
      <c r="E29" s="110" t="s">
        <v>3</v>
      </c>
      <c r="G29" s="6"/>
      <c r="H29" s="13" t="s">
        <v>43</v>
      </c>
      <c r="J29" s="113"/>
      <c r="K29" s="114"/>
      <c r="L29" s="112">
        <v>600000</v>
      </c>
      <c r="M29" s="114"/>
      <c r="N29" s="113"/>
      <c r="P29" s="8">
        <f t="shared" ref="P29:P31" si="35">J29</f>
        <v>0</v>
      </c>
      <c r="Q29" s="8">
        <f t="shared" ref="Q29:Q31" si="36">K29</f>
        <v>0</v>
      </c>
      <c r="R29" s="8">
        <f t="shared" ref="R29:R31" si="37">L29</f>
        <v>600000</v>
      </c>
      <c r="S29" s="8">
        <f t="shared" ref="S29:S31" si="38">M29</f>
        <v>0</v>
      </c>
      <c r="T29" s="8">
        <f t="shared" ref="T29:T31" si="39">N29</f>
        <v>0</v>
      </c>
    </row>
    <row r="30" spans="1:25" s="100" customFormat="1" ht="12.75" customHeight="1" x14ac:dyDescent="0.2">
      <c r="A30" s="7"/>
      <c r="C30" s="108" t="s">
        <v>113</v>
      </c>
      <c r="D30" s="109" t="s">
        <v>4</v>
      </c>
      <c r="E30" s="110" t="s">
        <v>3</v>
      </c>
      <c r="G30" s="6"/>
      <c r="H30" s="13" t="s">
        <v>43</v>
      </c>
      <c r="J30" s="113"/>
      <c r="K30" s="114"/>
      <c r="L30" s="112">
        <v>504000</v>
      </c>
      <c r="M30" s="114"/>
      <c r="N30" s="113"/>
      <c r="P30" s="8">
        <f t="shared" si="35"/>
        <v>0</v>
      </c>
      <c r="Q30" s="8">
        <f t="shared" si="36"/>
        <v>0</v>
      </c>
      <c r="R30" s="8">
        <f t="shared" si="37"/>
        <v>504000</v>
      </c>
      <c r="S30" s="8">
        <f t="shared" si="38"/>
        <v>0</v>
      </c>
      <c r="T30" s="8">
        <f t="shared" si="39"/>
        <v>0</v>
      </c>
    </row>
    <row r="31" spans="1:25" ht="12.75" customHeight="1" x14ac:dyDescent="0.2">
      <c r="A31" s="7"/>
      <c r="C31" s="108"/>
      <c r="D31" s="109"/>
      <c r="E31" s="110"/>
      <c r="F31" s="100"/>
      <c r="G31" s="6"/>
      <c r="H31" s="13" t="s">
        <v>43</v>
      </c>
      <c r="I31" s="100"/>
      <c r="J31" s="113"/>
      <c r="K31" s="114"/>
      <c r="L31" s="113"/>
      <c r="M31" s="114"/>
      <c r="N31" s="113"/>
      <c r="P31" s="8">
        <f t="shared" si="35"/>
        <v>0</v>
      </c>
      <c r="Q31" s="8">
        <f t="shared" si="36"/>
        <v>0</v>
      </c>
      <c r="R31" s="8">
        <f t="shared" si="37"/>
        <v>0</v>
      </c>
      <c r="S31" s="8">
        <f t="shared" si="38"/>
        <v>0</v>
      </c>
      <c r="T31" s="8">
        <f t="shared" si="39"/>
        <v>0</v>
      </c>
    </row>
    <row r="32" spans="1:25" ht="12.75" customHeight="1" x14ac:dyDescent="0.2">
      <c r="A32" s="7"/>
      <c r="B32" s="100"/>
      <c r="C32" s="108"/>
      <c r="D32" s="109"/>
      <c r="E32" s="110"/>
      <c r="F32" s="100"/>
      <c r="G32" s="6"/>
      <c r="H32" s="13" t="s">
        <v>43</v>
      </c>
      <c r="I32" s="100"/>
      <c r="J32" s="113"/>
      <c r="K32" s="114"/>
      <c r="L32" s="113"/>
      <c r="M32" s="114"/>
      <c r="N32" s="113"/>
      <c r="O32" s="100"/>
      <c r="P32" s="8">
        <f t="shared" ref="P32" si="40">J32</f>
        <v>0</v>
      </c>
      <c r="Q32" s="8">
        <f t="shared" ref="Q32" si="41">K32</f>
        <v>0</v>
      </c>
      <c r="R32" s="8">
        <f t="shared" ref="R32" si="42">L32</f>
        <v>0</v>
      </c>
      <c r="S32" s="8">
        <f t="shared" ref="S32" si="43">M32</f>
        <v>0</v>
      </c>
      <c r="T32" s="8">
        <f t="shared" ref="T32" si="44">N32</f>
        <v>0</v>
      </c>
    </row>
    <row r="33" spans="3:25" ht="12.75" customHeight="1" x14ac:dyDescent="0.25">
      <c r="F33" s="3"/>
      <c r="I33" s="3"/>
      <c r="O33" s="3"/>
      <c r="Y33"/>
    </row>
    <row r="34" spans="3:25" ht="12.75" customHeight="1" x14ac:dyDescent="0.25">
      <c r="F34" s="3"/>
      <c r="I34" s="3"/>
      <c r="O34" s="3"/>
      <c r="Y34"/>
    </row>
    <row r="35" spans="3:25" ht="12.75" customHeight="1" x14ac:dyDescent="0.25">
      <c r="C35" s="5" t="s">
        <v>12</v>
      </c>
      <c r="F35" s="3"/>
      <c r="I35" s="3"/>
      <c r="O35" s="3"/>
      <c r="Y35"/>
    </row>
    <row r="36" spans="3:25" ht="12.75" customHeight="1" x14ac:dyDescent="0.2">
      <c r="C36" s="28" t="s">
        <v>1</v>
      </c>
      <c r="D36" s="28" t="s">
        <v>4</v>
      </c>
      <c r="E36" s="28"/>
      <c r="F36" s="3"/>
      <c r="G36" s="28"/>
      <c r="H36" s="29"/>
      <c r="I36" s="3"/>
      <c r="J36" s="28"/>
      <c r="K36" s="28"/>
      <c r="L36" s="28"/>
      <c r="M36" s="28"/>
      <c r="N36" s="28"/>
      <c r="O36" s="3"/>
      <c r="P36" s="30">
        <f t="shared" ref="P36:Q41" si="45">SUMPRODUCT(($D$10:$D$32=$D36)*($E$10:$E$32=$C36)*P$10:P$32)</f>
        <v>0</v>
      </c>
      <c r="Q36" s="30">
        <f t="shared" si="45"/>
        <v>1106673.75</v>
      </c>
      <c r="R36" s="30">
        <f t="shared" ref="R36:T41" si="46">SUMPRODUCT(($D$10:$D$32=$D36)*($E$10:$E$32=$C36)*R$10:R$32)</f>
        <v>2939673.75</v>
      </c>
      <c r="S36" s="30">
        <f t="shared" si="46"/>
        <v>0</v>
      </c>
      <c r="T36" s="30">
        <f t="shared" si="46"/>
        <v>0</v>
      </c>
    </row>
    <row r="37" spans="3:25" ht="12.75" customHeight="1" x14ac:dyDescent="0.2">
      <c r="C37" s="4" t="s">
        <v>0</v>
      </c>
      <c r="D37" s="4" t="s">
        <v>4</v>
      </c>
      <c r="E37" s="4"/>
      <c r="F37" s="3"/>
      <c r="G37" s="4"/>
      <c r="H37" s="13"/>
      <c r="I37" s="3"/>
      <c r="J37" s="4"/>
      <c r="K37" s="4"/>
      <c r="L37" s="4"/>
      <c r="M37" s="4"/>
      <c r="N37" s="4"/>
      <c r="O37" s="3"/>
      <c r="P37" s="9">
        <f t="shared" si="45"/>
        <v>0</v>
      </c>
      <c r="Q37" s="9">
        <f t="shared" si="45"/>
        <v>517500</v>
      </c>
      <c r="R37" s="9">
        <f t="shared" si="46"/>
        <v>717500</v>
      </c>
      <c r="S37" s="9">
        <f t="shared" si="46"/>
        <v>0</v>
      </c>
      <c r="T37" s="9">
        <f t="shared" si="46"/>
        <v>0</v>
      </c>
    </row>
    <row r="38" spans="3:25" ht="12.75" customHeight="1" x14ac:dyDescent="0.2">
      <c r="C38" s="4" t="s">
        <v>3</v>
      </c>
      <c r="D38" s="4" t="s">
        <v>4</v>
      </c>
      <c r="E38" s="4"/>
      <c r="F38" s="3"/>
      <c r="G38" s="4"/>
      <c r="H38" s="13"/>
      <c r="I38" s="3"/>
      <c r="J38" s="4"/>
      <c r="K38" s="4"/>
      <c r="L38" s="4"/>
      <c r="M38" s="4"/>
      <c r="N38" s="4"/>
      <c r="O38" s="3"/>
      <c r="P38" s="9">
        <f t="shared" si="45"/>
        <v>0</v>
      </c>
      <c r="Q38" s="9">
        <f t="shared" si="45"/>
        <v>0</v>
      </c>
      <c r="R38" s="9">
        <f t="shared" si="46"/>
        <v>2204000</v>
      </c>
      <c r="S38" s="9">
        <f t="shared" si="46"/>
        <v>0</v>
      </c>
      <c r="T38" s="9">
        <f t="shared" si="46"/>
        <v>0</v>
      </c>
    </row>
    <row r="39" spans="3:25" ht="12.75" customHeight="1" x14ac:dyDescent="0.2">
      <c r="C39" s="4" t="s">
        <v>1</v>
      </c>
      <c r="D39" s="4" t="s">
        <v>40</v>
      </c>
      <c r="E39" s="4"/>
      <c r="F39" s="3"/>
      <c r="G39" s="4"/>
      <c r="H39" s="13"/>
      <c r="I39" s="3"/>
      <c r="J39" s="4"/>
      <c r="K39" s="4"/>
      <c r="L39" s="4"/>
      <c r="M39" s="4"/>
      <c r="N39" s="4"/>
      <c r="O39" s="3"/>
      <c r="P39" s="9">
        <f t="shared" si="45"/>
        <v>0</v>
      </c>
      <c r="Q39" s="9">
        <f t="shared" si="45"/>
        <v>0</v>
      </c>
      <c r="R39" s="9">
        <f t="shared" si="46"/>
        <v>0</v>
      </c>
      <c r="S39" s="9">
        <f t="shared" si="46"/>
        <v>0</v>
      </c>
      <c r="T39" s="9">
        <f t="shared" si="46"/>
        <v>0</v>
      </c>
    </row>
    <row r="40" spans="3:25" ht="12.75" customHeight="1" x14ac:dyDescent="0.2">
      <c r="C40" s="4" t="s">
        <v>0</v>
      </c>
      <c r="D40" s="4" t="s">
        <v>40</v>
      </c>
      <c r="E40" s="4"/>
      <c r="F40" s="3"/>
      <c r="G40" s="4"/>
      <c r="H40" s="13"/>
      <c r="I40" s="3"/>
      <c r="J40" s="4"/>
      <c r="K40" s="4"/>
      <c r="L40" s="4"/>
      <c r="M40" s="4"/>
      <c r="N40" s="4"/>
      <c r="O40" s="3"/>
      <c r="P40" s="9">
        <f t="shared" si="45"/>
        <v>0</v>
      </c>
      <c r="Q40" s="9">
        <f t="shared" si="45"/>
        <v>0</v>
      </c>
      <c r="R40" s="9">
        <f t="shared" si="46"/>
        <v>0</v>
      </c>
      <c r="S40" s="9">
        <f t="shared" si="46"/>
        <v>0</v>
      </c>
      <c r="T40" s="9">
        <f t="shared" si="46"/>
        <v>0</v>
      </c>
    </row>
    <row r="41" spans="3:25" ht="12.75" customHeight="1" x14ac:dyDescent="0.2">
      <c r="C41" s="4" t="s">
        <v>3</v>
      </c>
      <c r="D41" s="4" t="s">
        <v>40</v>
      </c>
      <c r="E41" s="7"/>
      <c r="F41" s="3"/>
      <c r="G41" s="7"/>
      <c r="H41" s="31"/>
      <c r="I41" s="3"/>
      <c r="J41" s="7"/>
      <c r="K41" s="7"/>
      <c r="L41" s="7"/>
      <c r="M41" s="7"/>
      <c r="N41" s="7"/>
      <c r="O41" s="3"/>
      <c r="P41" s="164">
        <f t="shared" si="45"/>
        <v>0</v>
      </c>
      <c r="Q41" s="164">
        <f t="shared" si="45"/>
        <v>0</v>
      </c>
      <c r="R41" s="164">
        <f t="shared" si="46"/>
        <v>0</v>
      </c>
      <c r="S41" s="164">
        <f t="shared" si="46"/>
        <v>0</v>
      </c>
      <c r="T41" s="164">
        <f t="shared" si="46"/>
        <v>0</v>
      </c>
    </row>
    <row r="42" spans="3:25" ht="12.75" customHeight="1" x14ac:dyDescent="0.2">
      <c r="C42" s="10" t="str">
        <f>"Total Expenditure ($ "&amp;Assumptions!$B$8&amp;")"</f>
        <v>Total Expenditure ($ 2018)</v>
      </c>
      <c r="D42" s="10"/>
      <c r="E42" s="10"/>
      <c r="F42" s="3"/>
      <c r="G42" s="10"/>
      <c r="H42" s="14"/>
      <c r="I42" s="3"/>
      <c r="J42" s="10"/>
      <c r="K42" s="10"/>
      <c r="L42" s="10"/>
      <c r="M42" s="10"/>
      <c r="N42" s="10"/>
      <c r="O42" s="3"/>
      <c r="P42" s="11">
        <f>SUM(P36:P41)</f>
        <v>0</v>
      </c>
      <c r="Q42" s="11">
        <f t="shared" ref="Q42:T42" si="47">SUM(Q36:Q41)</f>
        <v>1624173.75</v>
      </c>
      <c r="R42" s="11">
        <f t="shared" si="47"/>
        <v>5861173.75</v>
      </c>
      <c r="S42" s="11">
        <f t="shared" si="47"/>
        <v>0</v>
      </c>
      <c r="T42" s="11">
        <f t="shared" si="47"/>
        <v>0</v>
      </c>
      <c r="U42" s="44"/>
    </row>
    <row r="43" spans="3:25" ht="12.75" customHeight="1" x14ac:dyDescent="0.2">
      <c r="C43" s="28" t="str">
        <f>"Total Expenditure ($ "&amp;Assumptions!B17&amp;")"</f>
        <v>Total Expenditure ($ 2020/21)</v>
      </c>
      <c r="D43" s="28"/>
      <c r="E43" s="28"/>
      <c r="F43" s="3"/>
      <c r="G43" s="28"/>
      <c r="H43" s="29"/>
      <c r="I43" s="3"/>
      <c r="J43" s="28"/>
      <c r="K43" s="28"/>
      <c r="L43" s="28"/>
      <c r="M43" s="28"/>
      <c r="N43" s="28"/>
      <c r="O43" s="3"/>
      <c r="P43" s="45">
        <f>P42*Assumptions!$B$18</f>
        <v>0</v>
      </c>
      <c r="Q43" s="45">
        <f>Q42*Assumptions!$B$18</f>
        <v>1720070.1835095261</v>
      </c>
      <c r="R43" s="45">
        <f>R42*Assumptions!$B$18</f>
        <v>6207236.268745088</v>
      </c>
      <c r="S43" s="45">
        <f>S42*Assumptions!$B$18</f>
        <v>0</v>
      </c>
      <c r="T43" s="45">
        <f>T42*Assumptions!$B$18</f>
        <v>0</v>
      </c>
      <c r="U43" s="44"/>
      <c r="W43" s="100"/>
    </row>
    <row r="44" spans="3:25" ht="12.75" customHeight="1" x14ac:dyDescent="0.2">
      <c r="C44" s="101" t="s">
        <v>11</v>
      </c>
      <c r="D44" s="101"/>
      <c r="E44" s="101"/>
      <c r="F44" s="3"/>
      <c r="G44" s="101"/>
      <c r="H44" s="101"/>
      <c r="I44" s="3"/>
      <c r="J44" s="101"/>
      <c r="K44" s="101"/>
      <c r="L44" s="101"/>
      <c r="M44" s="101"/>
      <c r="N44" s="101"/>
      <c r="O44" s="3"/>
      <c r="P44" s="102">
        <f>P42-SUM(P28:P31,P18:P25, P10:P15)</f>
        <v>0</v>
      </c>
      <c r="Q44" s="102">
        <f>Q42-SUM(Q28:Q31,Q18:Q25, Q10:Q15)</f>
        <v>0</v>
      </c>
      <c r="R44" s="102">
        <f>R42-SUM(R28:R31,R18:R25, R10:R15)</f>
        <v>0</v>
      </c>
      <c r="S44" s="102">
        <f>S42-SUM(S28:S31,S18:S25, S10:S15)</f>
        <v>0</v>
      </c>
      <c r="T44" s="102">
        <f>T42-SUM(T28:T31,T18:T25, T10:T15)</f>
        <v>0</v>
      </c>
      <c r="V44" s="102">
        <f>SUM(P44:T44)</f>
        <v>0</v>
      </c>
    </row>
    <row r="45" spans="3:25" ht="12.75" customHeight="1" x14ac:dyDescent="0.2">
      <c r="F45" s="3"/>
      <c r="I45" s="3"/>
      <c r="O45" s="3"/>
    </row>
    <row r="46" spans="3:25" ht="12.75" customHeight="1" x14ac:dyDescent="0.2">
      <c r="C46" s="157" t="str">
        <f>"NPV ($ "&amp;Assumptions!$B$17&amp;")"</f>
        <v>NPV ($ 2020/21)</v>
      </c>
      <c r="D46" s="158">
        <f>NPV(Assumptions!$B$6,$P$43:$T$43)</f>
        <v>7351295.3782361969</v>
      </c>
      <c r="F46" s="3"/>
      <c r="I46" s="3"/>
      <c r="O46" s="3"/>
      <c r="P46" s="9"/>
      <c r="Q46" s="9"/>
      <c r="R46" s="9"/>
      <c r="S46" s="9"/>
      <c r="T46" s="9"/>
    </row>
    <row r="47" spans="3:25" ht="12.75" customHeight="1" x14ac:dyDescent="0.2">
      <c r="O47" s="3"/>
    </row>
    <row r="48" spans="3:25" ht="12.75" customHeight="1" x14ac:dyDescent="0.2">
      <c r="O48" s="3"/>
    </row>
    <row r="49" ht="12.75" customHeight="1" x14ac:dyDescent="0.2"/>
    <row r="50" ht="12.75" customHeight="1" x14ac:dyDescent="0.2"/>
    <row r="51" ht="12.75" customHeight="1" x14ac:dyDescent="0.2"/>
  </sheetData>
  <sortState ref="B114:B116">
    <sortCondition ref="B114:B116"/>
  </sortState>
  <conditionalFormatting sqref="P44">
    <cfRule type="expression" dxfId="9" priority="6">
      <formula>ABS(P44)&gt;0.001</formula>
    </cfRule>
  </conditionalFormatting>
  <conditionalFormatting sqref="Q44">
    <cfRule type="expression" dxfId="8" priority="5">
      <formula>ABS(Q44)&gt;0.001</formula>
    </cfRule>
  </conditionalFormatting>
  <conditionalFormatting sqref="R44">
    <cfRule type="expression" dxfId="7" priority="4">
      <formula>ABS(R44)&gt;0.001</formula>
    </cfRule>
  </conditionalFormatting>
  <conditionalFormatting sqref="T44">
    <cfRule type="expression" dxfId="6" priority="3">
      <formula>ABS(T44)&gt;0.001</formula>
    </cfRule>
  </conditionalFormatting>
  <conditionalFormatting sqref="V44">
    <cfRule type="expression" dxfId="5" priority="1">
      <formula>ABS(V44)&gt;0.001</formula>
    </cfRule>
  </conditionalFormatting>
  <dataValidations count="2">
    <dataValidation type="list" allowBlank="1" showInputMessage="1" showErrorMessage="1" sqref="D10:D15 D18:D25 D28:D32">
      <formula1>"CapEx, OpEx"</formula1>
    </dataValidation>
    <dataValidation type="list" allowBlank="1" showInputMessage="1" showErrorMessage="1" sqref="E10:E15 E18:E25 E28:E32">
      <formula1>"Labour, Materials, Contracts"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Y49"/>
  <sheetViews>
    <sheetView showGridLines="0" zoomScale="90" zoomScaleNormal="90" workbookViewId="0"/>
  </sheetViews>
  <sheetFormatPr defaultColWidth="9.140625" defaultRowHeight="12.75" x14ac:dyDescent="0.2"/>
  <cols>
    <col min="1" max="1" width="4.28515625" style="1" customWidth="1"/>
    <col min="2" max="2" width="2.7109375" style="1" customWidth="1"/>
    <col min="3" max="3" width="78.42578125" style="1" bestFit="1" customWidth="1"/>
    <col min="4" max="5" width="11.140625" style="1" customWidth="1"/>
    <col min="6" max="6" width="2.85546875" style="1" customWidth="1"/>
    <col min="7" max="7" width="12.140625" style="1" customWidth="1"/>
    <col min="8" max="8" width="12.7109375" style="12" customWidth="1"/>
    <col min="9" max="9" width="2.85546875" style="1" customWidth="1"/>
    <col min="10" max="14" width="12.140625" style="1" customWidth="1"/>
    <col min="15" max="15" width="2.85546875" style="1" customWidth="1"/>
    <col min="16" max="20" width="12.140625" style="1" customWidth="1"/>
    <col min="21" max="21" width="2.140625" style="1" customWidth="1"/>
    <col min="22" max="16384" width="9.140625" style="1"/>
  </cols>
  <sheetData>
    <row r="1" spans="1:25" ht="21" x14ac:dyDescent="0.35">
      <c r="A1" s="18" t="str">
        <f>Assumptions!A1</f>
        <v>Intelligent Engineering</v>
      </c>
      <c r="B1" s="18"/>
      <c r="C1" s="15"/>
      <c r="D1" s="15"/>
      <c r="E1" s="15"/>
      <c r="F1" s="15"/>
      <c r="G1" s="15"/>
      <c r="H1" s="16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</row>
    <row r="2" spans="1:25" ht="15.75" x14ac:dyDescent="0.25">
      <c r="A2" s="17" t="str">
        <f>Assumptions!A2</f>
        <v>VPN</v>
      </c>
      <c r="B2" s="17"/>
      <c r="C2" s="15"/>
      <c r="D2" s="15"/>
      <c r="E2" s="15"/>
      <c r="F2" s="15"/>
      <c r="G2" s="15"/>
      <c r="H2" s="16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</row>
    <row r="3" spans="1:25" s="39" customFormat="1" ht="15" x14ac:dyDescent="0.25">
      <c r="A3" s="37" t="s">
        <v>20</v>
      </c>
      <c r="B3" s="37"/>
      <c r="C3" s="37"/>
      <c r="D3" s="37"/>
      <c r="E3" s="37"/>
      <c r="F3" s="37"/>
      <c r="G3" s="37"/>
      <c r="H3" s="38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V3" s="119" t="b">
        <f>SUM(V7:V42)=0</f>
        <v>1</v>
      </c>
    </row>
    <row r="4" spans="1:25" s="2" customFormat="1" ht="12.75" customHeight="1" x14ac:dyDescent="0.25">
      <c r="B4" s="19"/>
      <c r="C4" s="20"/>
      <c r="D4" s="20"/>
      <c r="E4" s="20"/>
      <c r="F4" s="20"/>
      <c r="G4" s="20"/>
      <c r="H4" s="21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</row>
    <row r="5" spans="1:25" s="2" customFormat="1" ht="12.75" customHeight="1" x14ac:dyDescent="0.2">
      <c r="A5" s="2" t="str">
        <f>"Inputs are in $"&amp;Assumptions!$B$8&amp; " unless otherwise stated"</f>
        <v>Inputs are in $2018 unless otherwise stated</v>
      </c>
      <c r="B5" s="22"/>
      <c r="C5" s="20"/>
      <c r="D5" s="20"/>
      <c r="E5" s="20"/>
      <c r="F5" s="20"/>
      <c r="G5" s="20"/>
      <c r="H5" s="21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</row>
    <row r="6" spans="1:25" ht="12.75" customHeight="1" x14ac:dyDescent="0.2">
      <c r="A6" s="7"/>
      <c r="F6" s="20"/>
    </row>
    <row r="7" spans="1:25" ht="12.75" customHeight="1" x14ac:dyDescent="0.2">
      <c r="A7" s="7"/>
      <c r="B7" s="100"/>
      <c r="C7" s="121" t="s">
        <v>45</v>
      </c>
      <c r="D7" s="23" t="s">
        <v>22</v>
      </c>
      <c r="E7" s="23" t="s">
        <v>8</v>
      </c>
      <c r="F7" s="20"/>
      <c r="G7" s="23" t="s">
        <v>14</v>
      </c>
      <c r="H7" s="23" t="s">
        <v>9</v>
      </c>
      <c r="I7" s="100"/>
      <c r="J7" s="23" t="s">
        <v>44</v>
      </c>
      <c r="K7" s="24"/>
      <c r="L7" s="24"/>
      <c r="M7" s="24"/>
      <c r="N7" s="24"/>
      <c r="O7" s="4"/>
      <c r="P7" s="23" t="s">
        <v>10</v>
      </c>
      <c r="Q7" s="24"/>
      <c r="R7" s="24"/>
      <c r="S7" s="24"/>
      <c r="T7" s="24"/>
    </row>
    <row r="8" spans="1:25" s="100" customFormat="1" ht="12.75" customHeight="1" x14ac:dyDescent="0.2">
      <c r="A8" s="7"/>
      <c r="B8" s="7"/>
      <c r="C8" s="7"/>
      <c r="D8" s="7"/>
      <c r="E8" s="7"/>
      <c r="F8" s="20"/>
      <c r="G8" s="7"/>
      <c r="H8" s="7"/>
      <c r="I8" s="4"/>
      <c r="J8" s="122" t="s">
        <v>15</v>
      </c>
      <c r="K8" s="122" t="s">
        <v>16</v>
      </c>
      <c r="L8" s="122" t="s">
        <v>17</v>
      </c>
      <c r="M8" s="122" t="s">
        <v>18</v>
      </c>
      <c r="N8" s="122" t="s">
        <v>19</v>
      </c>
      <c r="O8" s="4"/>
      <c r="P8" s="122" t="s">
        <v>15</v>
      </c>
      <c r="Q8" s="122" t="s">
        <v>16</v>
      </c>
      <c r="R8" s="122" t="s">
        <v>17</v>
      </c>
      <c r="S8" s="122" t="s">
        <v>18</v>
      </c>
      <c r="T8" s="122" t="s">
        <v>19</v>
      </c>
    </row>
    <row r="9" spans="1:25" ht="12.75" customHeight="1" x14ac:dyDescent="0.2">
      <c r="A9" s="100"/>
      <c r="B9" s="100"/>
      <c r="C9" s="100"/>
      <c r="D9" s="100"/>
      <c r="E9" s="100"/>
      <c r="F9" s="20"/>
      <c r="G9" s="100"/>
      <c r="I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</row>
    <row r="10" spans="1:25" ht="12.75" customHeight="1" x14ac:dyDescent="0.2">
      <c r="A10" s="7" t="str">
        <f>IF(ISBLANK(B10),"",1+MAX(A$6:A9))</f>
        <v/>
      </c>
      <c r="C10" s="108" t="s">
        <v>114</v>
      </c>
      <c r="D10" s="109" t="s">
        <v>4</v>
      </c>
      <c r="E10" s="110" t="s">
        <v>1</v>
      </c>
      <c r="F10" s="3"/>
      <c r="G10" s="111">
        <v>122.2</v>
      </c>
      <c r="H10" s="12" t="s">
        <v>41</v>
      </c>
      <c r="I10" s="3"/>
      <c r="J10" s="112"/>
      <c r="K10" s="149"/>
      <c r="L10" s="150"/>
      <c r="M10" s="112">
        <v>2250</v>
      </c>
      <c r="N10" s="112"/>
      <c r="O10" s="3"/>
      <c r="P10" s="8">
        <f t="shared" ref="P10:T14" si="0">J10*$G10</f>
        <v>0</v>
      </c>
      <c r="Q10" s="8">
        <f t="shared" si="0"/>
        <v>0</v>
      </c>
      <c r="R10" s="8">
        <f t="shared" si="0"/>
        <v>0</v>
      </c>
      <c r="S10" s="8">
        <f t="shared" si="0"/>
        <v>274950</v>
      </c>
      <c r="T10" s="8">
        <f t="shared" si="0"/>
        <v>0</v>
      </c>
    </row>
    <row r="11" spans="1:25" ht="12.75" customHeight="1" x14ac:dyDescent="0.2">
      <c r="A11" s="7" t="str">
        <f>IF(ISBLANK(B11),"",1+MAX(A$6:A10))</f>
        <v/>
      </c>
      <c r="C11" s="108" t="s">
        <v>104</v>
      </c>
      <c r="D11" s="109" t="s">
        <v>4</v>
      </c>
      <c r="E11" s="110" t="s">
        <v>1</v>
      </c>
      <c r="F11" s="3"/>
      <c r="G11" s="111">
        <v>122.2</v>
      </c>
      <c r="H11" s="12" t="s">
        <v>41</v>
      </c>
      <c r="I11" s="3"/>
      <c r="J11" s="112"/>
      <c r="K11" s="112"/>
      <c r="L11" s="112">
        <v>2850</v>
      </c>
      <c r="M11" s="112"/>
      <c r="N11" s="112"/>
      <c r="O11" s="3"/>
      <c r="P11" s="8">
        <f t="shared" si="0"/>
        <v>0</v>
      </c>
      <c r="Q11" s="8">
        <f t="shared" si="0"/>
        <v>0</v>
      </c>
      <c r="R11" s="8">
        <f t="shared" si="0"/>
        <v>348270</v>
      </c>
      <c r="S11" s="8">
        <f t="shared" si="0"/>
        <v>0</v>
      </c>
      <c r="T11" s="8">
        <f t="shared" si="0"/>
        <v>0</v>
      </c>
    </row>
    <row r="12" spans="1:25" ht="12.75" customHeight="1" x14ac:dyDescent="0.2">
      <c r="A12" s="7" t="str">
        <f>IF(ISBLANK(B12),"",1+MAX(A$6:A11))</f>
        <v/>
      </c>
      <c r="C12" s="108" t="s">
        <v>105</v>
      </c>
      <c r="D12" s="109" t="s">
        <v>4</v>
      </c>
      <c r="E12" s="110" t="s">
        <v>1</v>
      </c>
      <c r="F12" s="3"/>
      <c r="G12" s="111">
        <v>122.2</v>
      </c>
      <c r="H12" s="12" t="s">
        <v>41</v>
      </c>
      <c r="I12" s="3"/>
      <c r="J12" s="112"/>
      <c r="K12" s="112"/>
      <c r="L12" s="112">
        <v>3150</v>
      </c>
      <c r="M12" s="112"/>
      <c r="N12" s="112"/>
      <c r="O12" s="3"/>
      <c r="P12" s="8">
        <f t="shared" si="0"/>
        <v>0</v>
      </c>
      <c r="Q12" s="8">
        <f t="shared" si="0"/>
        <v>0</v>
      </c>
      <c r="R12" s="8">
        <f t="shared" si="0"/>
        <v>384930</v>
      </c>
      <c r="S12" s="8">
        <f t="shared" si="0"/>
        <v>0</v>
      </c>
      <c r="T12" s="8">
        <f t="shared" si="0"/>
        <v>0</v>
      </c>
    </row>
    <row r="13" spans="1:25" ht="12.75" customHeight="1" x14ac:dyDescent="0.25">
      <c r="A13" s="7" t="str">
        <f>IF(ISBLANK(B13),"",1+MAX(A$6:A12))</f>
        <v/>
      </c>
      <c r="C13" s="108" t="s">
        <v>106</v>
      </c>
      <c r="D13" s="109" t="s">
        <v>4</v>
      </c>
      <c r="E13" s="110" t="s">
        <v>1</v>
      </c>
      <c r="F13" s="3"/>
      <c r="G13" s="111">
        <v>122.2</v>
      </c>
      <c r="H13" s="12" t="s">
        <v>41</v>
      </c>
      <c r="I13" s="3"/>
      <c r="J13" s="112"/>
      <c r="K13" s="112">
        <v>9056.25</v>
      </c>
      <c r="L13" s="112">
        <v>9056.25</v>
      </c>
      <c r="M13" s="112"/>
      <c r="N13" s="112"/>
      <c r="O13" s="3"/>
      <c r="P13" s="8">
        <f t="shared" si="0"/>
        <v>0</v>
      </c>
      <c r="Q13" s="8">
        <f t="shared" si="0"/>
        <v>1106673.75</v>
      </c>
      <c r="R13" s="8">
        <f t="shared" si="0"/>
        <v>1106673.75</v>
      </c>
      <c r="S13" s="8">
        <f t="shared" si="0"/>
        <v>0</v>
      </c>
      <c r="T13" s="8">
        <f t="shared" si="0"/>
        <v>0</v>
      </c>
      <c r="Y13"/>
    </row>
    <row r="14" spans="1:25" ht="12.75" customHeight="1" x14ac:dyDescent="0.25">
      <c r="A14" s="7" t="str">
        <f>IF(ISBLANK(B14),"",1+MAX(A$6:A13))</f>
        <v/>
      </c>
      <c r="C14" s="108" t="s">
        <v>107</v>
      </c>
      <c r="D14" s="109" t="s">
        <v>4</v>
      </c>
      <c r="E14" s="110" t="s">
        <v>1</v>
      </c>
      <c r="F14" s="3"/>
      <c r="G14" s="111">
        <v>122.2</v>
      </c>
      <c r="H14" s="12" t="s">
        <v>41</v>
      </c>
      <c r="I14" s="3"/>
      <c r="J14" s="112"/>
      <c r="K14" s="112"/>
      <c r="L14" s="112">
        <v>1500</v>
      </c>
      <c r="M14" s="112"/>
      <c r="N14" s="112"/>
      <c r="O14" s="3"/>
      <c r="P14" s="8">
        <f t="shared" si="0"/>
        <v>0</v>
      </c>
      <c r="Q14" s="8">
        <f t="shared" si="0"/>
        <v>0</v>
      </c>
      <c r="R14" s="8">
        <f t="shared" si="0"/>
        <v>183300</v>
      </c>
      <c r="S14" s="8">
        <f t="shared" si="0"/>
        <v>0</v>
      </c>
      <c r="T14" s="8">
        <f t="shared" si="0"/>
        <v>0</v>
      </c>
      <c r="Y14"/>
    </row>
    <row r="15" spans="1:25" s="100" customFormat="1" ht="12.75" customHeight="1" x14ac:dyDescent="0.25">
      <c r="A15" s="7"/>
      <c r="C15" s="108" t="s">
        <v>108</v>
      </c>
      <c r="D15" s="109" t="s">
        <v>4</v>
      </c>
      <c r="E15" s="110" t="s">
        <v>1</v>
      </c>
      <c r="F15" s="3"/>
      <c r="G15" s="111">
        <v>122.2</v>
      </c>
      <c r="H15" s="12" t="s">
        <v>41</v>
      </c>
      <c r="I15" s="3"/>
      <c r="J15" s="112"/>
      <c r="K15" s="112"/>
      <c r="L15" s="112">
        <v>7500</v>
      </c>
      <c r="M15" s="112"/>
      <c r="N15" s="112"/>
      <c r="O15" s="3"/>
      <c r="P15" s="8">
        <f t="shared" ref="P15:P16" si="1">J15*$G15</f>
        <v>0</v>
      </c>
      <c r="Q15" s="8">
        <f t="shared" ref="Q15:Q16" si="2">K15*$G15</f>
        <v>0</v>
      </c>
      <c r="R15" s="8">
        <f t="shared" ref="R15:R16" si="3">L15*$G15</f>
        <v>916500</v>
      </c>
      <c r="S15" s="8">
        <f t="shared" ref="S15:S16" si="4">M15*$G15</f>
        <v>0</v>
      </c>
      <c r="T15" s="8">
        <f t="shared" ref="T15:T16" si="5">N15*$G15</f>
        <v>0</v>
      </c>
      <c r="Y15"/>
    </row>
    <row r="16" spans="1:25" s="100" customFormat="1" ht="12.75" customHeight="1" x14ac:dyDescent="0.25">
      <c r="A16" s="7"/>
      <c r="C16" s="108"/>
      <c r="D16" s="109"/>
      <c r="E16" s="110"/>
      <c r="F16" s="3"/>
      <c r="G16" s="111">
        <v>122.2</v>
      </c>
      <c r="H16" s="12" t="s">
        <v>41</v>
      </c>
      <c r="I16" s="3"/>
      <c r="J16" s="112"/>
      <c r="K16" s="112"/>
      <c r="L16" s="112"/>
      <c r="M16" s="112"/>
      <c r="N16" s="112"/>
      <c r="O16" s="3"/>
      <c r="P16" s="8">
        <f t="shared" si="1"/>
        <v>0</v>
      </c>
      <c r="Q16" s="8">
        <f t="shared" si="2"/>
        <v>0</v>
      </c>
      <c r="R16" s="8">
        <f t="shared" si="3"/>
        <v>0</v>
      </c>
      <c r="S16" s="8">
        <f t="shared" si="4"/>
        <v>0</v>
      </c>
      <c r="T16" s="8">
        <f t="shared" si="5"/>
        <v>0</v>
      </c>
      <c r="Y16"/>
    </row>
    <row r="17" spans="1:25" ht="12.75" customHeight="1" x14ac:dyDescent="0.25">
      <c r="A17" s="7" t="str">
        <f>IF(ISBLANK(B17),"",1+MAX(A$6:A16))</f>
        <v/>
      </c>
      <c r="F17" s="3"/>
      <c r="I17" s="3"/>
      <c r="O17" s="3"/>
      <c r="Y17"/>
    </row>
    <row r="18" spans="1:25" ht="12.75" customHeight="1" x14ac:dyDescent="0.25">
      <c r="A18" s="7"/>
      <c r="F18" s="3"/>
      <c r="I18" s="3"/>
      <c r="O18" s="3"/>
      <c r="Y18"/>
    </row>
    <row r="19" spans="1:25" ht="12.75" customHeight="1" x14ac:dyDescent="0.25">
      <c r="A19" s="7" t="str">
        <f>IF(ISBLANK(B19),"",1+MAX(A$6:A18))</f>
        <v/>
      </c>
      <c r="C19" s="108" t="s">
        <v>115</v>
      </c>
      <c r="D19" s="109" t="s">
        <v>4</v>
      </c>
      <c r="E19" s="110" t="s">
        <v>0</v>
      </c>
      <c r="F19" s="3"/>
      <c r="G19" s="123">
        <v>600000</v>
      </c>
      <c r="H19" s="12" t="s">
        <v>42</v>
      </c>
      <c r="I19" s="3"/>
      <c r="J19" s="112"/>
      <c r="K19" s="133"/>
      <c r="L19" s="133"/>
      <c r="M19" s="133">
        <v>1</v>
      </c>
      <c r="N19" s="112"/>
      <c r="O19" s="3"/>
      <c r="P19" s="8">
        <f t="shared" ref="P19:T19" si="6">J19*$G19</f>
        <v>0</v>
      </c>
      <c r="Q19" s="8">
        <f t="shared" si="6"/>
        <v>0</v>
      </c>
      <c r="R19" s="8">
        <f t="shared" si="6"/>
        <v>0</v>
      </c>
      <c r="S19" s="8">
        <f t="shared" si="6"/>
        <v>600000</v>
      </c>
      <c r="T19" s="8">
        <f t="shared" si="6"/>
        <v>0</v>
      </c>
      <c r="Y19"/>
    </row>
    <row r="20" spans="1:25" s="100" customFormat="1" ht="12.75" customHeight="1" x14ac:dyDescent="0.25">
      <c r="A20" s="7"/>
      <c r="C20" s="108" t="s">
        <v>109</v>
      </c>
      <c r="D20" s="109" t="s">
        <v>4</v>
      </c>
      <c r="E20" s="110" t="s">
        <v>0</v>
      </c>
      <c r="F20" s="3"/>
      <c r="G20" s="123">
        <v>200000</v>
      </c>
      <c r="H20" s="12" t="s">
        <v>42</v>
      </c>
      <c r="I20" s="3"/>
      <c r="J20" s="112"/>
      <c r="K20" s="133"/>
      <c r="L20" s="133">
        <v>1</v>
      </c>
      <c r="M20" s="133"/>
      <c r="N20" s="112"/>
      <c r="O20" s="3"/>
      <c r="P20" s="8">
        <f t="shared" ref="P20:P23" si="7">J20*$G20</f>
        <v>0</v>
      </c>
      <c r="Q20" s="8">
        <f t="shared" ref="Q20:Q23" si="8">K20*$G20</f>
        <v>0</v>
      </c>
      <c r="R20" s="8">
        <f t="shared" ref="R20:R23" si="9">L20*$G20</f>
        <v>200000</v>
      </c>
      <c r="S20" s="8">
        <f t="shared" ref="S20:S23" si="10">M20*$G20</f>
        <v>0</v>
      </c>
      <c r="T20" s="8">
        <f t="shared" ref="T20:T23" si="11">N20*$G20</f>
        <v>0</v>
      </c>
      <c r="Y20"/>
    </row>
    <row r="21" spans="1:25" s="100" customFormat="1" ht="12.75" customHeight="1" x14ac:dyDescent="0.25">
      <c r="A21" s="7"/>
      <c r="C21" s="108" t="s">
        <v>110</v>
      </c>
      <c r="D21" s="109" t="s">
        <v>4</v>
      </c>
      <c r="E21" s="110" t="s">
        <v>0</v>
      </c>
      <c r="F21" s="3"/>
      <c r="G21" s="123">
        <v>2070000</v>
      </c>
      <c r="H21" s="12" t="s">
        <v>42</v>
      </c>
      <c r="I21" s="3"/>
      <c r="J21" s="112"/>
      <c r="K21" s="133">
        <v>0.25</v>
      </c>
      <c r="L21" s="133">
        <v>0.25</v>
      </c>
      <c r="M21" s="133"/>
      <c r="N21" s="112"/>
      <c r="O21" s="3"/>
      <c r="P21" s="8">
        <f t="shared" si="7"/>
        <v>0</v>
      </c>
      <c r="Q21" s="8">
        <f t="shared" si="8"/>
        <v>517500</v>
      </c>
      <c r="R21" s="8">
        <f t="shared" si="9"/>
        <v>517500</v>
      </c>
      <c r="S21" s="8">
        <f t="shared" si="10"/>
        <v>0</v>
      </c>
      <c r="T21" s="8">
        <f t="shared" si="11"/>
        <v>0</v>
      </c>
      <c r="Y21"/>
    </row>
    <row r="22" spans="1:25" s="100" customFormat="1" ht="12.75" customHeight="1" x14ac:dyDescent="0.25">
      <c r="A22" s="7"/>
      <c r="C22" s="108"/>
      <c r="D22" s="109"/>
      <c r="E22" s="110"/>
      <c r="F22" s="3"/>
      <c r="G22" s="123"/>
      <c r="H22" s="12" t="s">
        <v>42</v>
      </c>
      <c r="I22" s="3"/>
      <c r="J22" s="112"/>
      <c r="K22" s="112"/>
      <c r="L22" s="112"/>
      <c r="M22" s="112"/>
      <c r="N22" s="112"/>
      <c r="O22" s="3"/>
      <c r="P22" s="8">
        <f t="shared" si="7"/>
        <v>0</v>
      </c>
      <c r="Q22" s="8">
        <f t="shared" si="8"/>
        <v>0</v>
      </c>
      <c r="R22" s="8">
        <f t="shared" si="9"/>
        <v>0</v>
      </c>
      <c r="S22" s="8">
        <f t="shared" si="10"/>
        <v>0</v>
      </c>
      <c r="T22" s="8">
        <f t="shared" si="11"/>
        <v>0</v>
      </c>
      <c r="Y22"/>
    </row>
    <row r="23" spans="1:25" s="100" customFormat="1" ht="12.75" customHeight="1" x14ac:dyDescent="0.25">
      <c r="A23" s="7"/>
      <c r="C23" s="108"/>
      <c r="D23" s="109"/>
      <c r="E23" s="110"/>
      <c r="F23" s="3"/>
      <c r="G23" s="123"/>
      <c r="H23" s="12" t="s">
        <v>42</v>
      </c>
      <c r="I23" s="3"/>
      <c r="J23" s="112"/>
      <c r="K23" s="112"/>
      <c r="L23" s="112"/>
      <c r="M23" s="112"/>
      <c r="N23" s="112"/>
      <c r="O23" s="3"/>
      <c r="P23" s="8">
        <f t="shared" si="7"/>
        <v>0</v>
      </c>
      <c r="Q23" s="8">
        <f t="shared" si="8"/>
        <v>0</v>
      </c>
      <c r="R23" s="8">
        <f t="shared" si="9"/>
        <v>0</v>
      </c>
      <c r="S23" s="8">
        <f t="shared" si="10"/>
        <v>0</v>
      </c>
      <c r="T23" s="8">
        <f t="shared" si="11"/>
        <v>0</v>
      </c>
      <c r="Y23"/>
    </row>
    <row r="24" spans="1:25" ht="12.75" customHeight="1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Y24"/>
    </row>
    <row r="25" spans="1:25" ht="12.75" customHeight="1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Y25"/>
    </row>
    <row r="26" spans="1:25" ht="12.75" customHeight="1" x14ac:dyDescent="0.2">
      <c r="A26" s="7" t="str">
        <f>IF(ISBLANK(B26),"",1+MAX(A$6:A25))</f>
        <v/>
      </c>
      <c r="C26" s="108" t="s">
        <v>112</v>
      </c>
      <c r="D26" s="109" t="s">
        <v>4</v>
      </c>
      <c r="E26" s="110" t="s">
        <v>3</v>
      </c>
      <c r="G26" s="6"/>
      <c r="H26" s="13" t="s">
        <v>43</v>
      </c>
      <c r="J26" s="113"/>
      <c r="K26" s="114"/>
      <c r="L26" s="112">
        <v>1100000</v>
      </c>
      <c r="M26" s="114"/>
      <c r="N26" s="113"/>
      <c r="P26" s="8">
        <f t="shared" ref="P26:T29" si="12">J26</f>
        <v>0</v>
      </c>
      <c r="Q26" s="8">
        <f t="shared" si="12"/>
        <v>0</v>
      </c>
      <c r="R26" s="8">
        <f t="shared" si="12"/>
        <v>1100000</v>
      </c>
      <c r="S26" s="8">
        <f t="shared" si="12"/>
        <v>0</v>
      </c>
      <c r="T26" s="8">
        <f t="shared" si="12"/>
        <v>0</v>
      </c>
    </row>
    <row r="27" spans="1:25" s="100" customFormat="1" ht="12.75" customHeight="1" x14ac:dyDescent="0.2">
      <c r="A27" s="7"/>
      <c r="C27" s="108" t="s">
        <v>111</v>
      </c>
      <c r="D27" s="109" t="s">
        <v>4</v>
      </c>
      <c r="E27" s="110" t="s">
        <v>3</v>
      </c>
      <c r="G27" s="6"/>
      <c r="H27" s="13" t="s">
        <v>43</v>
      </c>
      <c r="J27" s="113"/>
      <c r="K27" s="114"/>
      <c r="L27" s="112">
        <v>600000</v>
      </c>
      <c r="M27" s="114"/>
      <c r="N27" s="113"/>
      <c r="P27" s="8">
        <f t="shared" ref="P27:P28" si="13">J27</f>
        <v>0</v>
      </c>
      <c r="Q27" s="8">
        <f t="shared" ref="Q27:Q28" si="14">K27</f>
        <v>0</v>
      </c>
      <c r="R27" s="8">
        <f t="shared" ref="R27:R28" si="15">L27</f>
        <v>600000</v>
      </c>
      <c r="S27" s="8">
        <f t="shared" ref="S27:S28" si="16">M27</f>
        <v>0</v>
      </c>
      <c r="T27" s="8">
        <f t="shared" ref="T27:T28" si="17">N27</f>
        <v>0</v>
      </c>
    </row>
    <row r="28" spans="1:25" s="100" customFormat="1" ht="12.75" customHeight="1" x14ac:dyDescent="0.2">
      <c r="A28" s="7"/>
      <c r="C28" s="108" t="s">
        <v>113</v>
      </c>
      <c r="D28" s="109" t="s">
        <v>4</v>
      </c>
      <c r="E28" s="110" t="s">
        <v>3</v>
      </c>
      <c r="G28" s="6"/>
      <c r="H28" s="13" t="s">
        <v>43</v>
      </c>
      <c r="J28" s="113"/>
      <c r="K28" s="114"/>
      <c r="L28" s="112">
        <v>504000</v>
      </c>
      <c r="M28" s="114"/>
      <c r="N28" s="113"/>
      <c r="P28" s="8">
        <f t="shared" si="13"/>
        <v>0</v>
      </c>
      <c r="Q28" s="8">
        <f t="shared" si="14"/>
        <v>0</v>
      </c>
      <c r="R28" s="8">
        <f t="shared" si="15"/>
        <v>504000</v>
      </c>
      <c r="S28" s="8">
        <f t="shared" si="16"/>
        <v>0</v>
      </c>
      <c r="T28" s="8">
        <f t="shared" si="17"/>
        <v>0</v>
      </c>
    </row>
    <row r="29" spans="1:25" ht="12.75" customHeight="1" x14ac:dyDescent="0.2">
      <c r="A29" s="7"/>
      <c r="C29" s="108"/>
      <c r="D29" s="109"/>
      <c r="E29" s="110"/>
      <c r="G29" s="6"/>
      <c r="H29" s="13" t="s">
        <v>43</v>
      </c>
      <c r="J29" s="113"/>
      <c r="K29" s="114"/>
      <c r="L29" s="113"/>
      <c r="M29" s="114"/>
      <c r="N29" s="113"/>
      <c r="P29" s="8">
        <f t="shared" si="12"/>
        <v>0</v>
      </c>
      <c r="Q29" s="8">
        <f t="shared" si="12"/>
        <v>0</v>
      </c>
      <c r="R29" s="8">
        <f t="shared" si="12"/>
        <v>0</v>
      </c>
      <c r="S29" s="8">
        <f t="shared" si="12"/>
        <v>0</v>
      </c>
      <c r="T29" s="8">
        <f t="shared" si="12"/>
        <v>0</v>
      </c>
    </row>
    <row r="30" spans="1:25" ht="12.75" customHeight="1" x14ac:dyDescent="0.2">
      <c r="A30" s="7"/>
      <c r="B30" s="100"/>
      <c r="C30" s="108"/>
      <c r="D30" s="109"/>
      <c r="E30" s="110"/>
      <c r="F30" s="100"/>
      <c r="G30" s="6"/>
      <c r="H30" s="13" t="s">
        <v>43</v>
      </c>
      <c r="I30" s="100"/>
      <c r="J30" s="113"/>
      <c r="K30" s="114"/>
      <c r="L30" s="113"/>
      <c r="M30" s="114"/>
      <c r="N30" s="113"/>
      <c r="O30" s="100"/>
      <c r="P30" s="8">
        <f t="shared" ref="P30" si="18">J30</f>
        <v>0</v>
      </c>
      <c r="Q30" s="8">
        <f t="shared" ref="Q30" si="19">K30</f>
        <v>0</v>
      </c>
      <c r="R30" s="8">
        <f t="shared" ref="R30" si="20">L30</f>
        <v>0</v>
      </c>
      <c r="S30" s="8">
        <f t="shared" ref="S30" si="21">M30</f>
        <v>0</v>
      </c>
      <c r="T30" s="8">
        <f t="shared" ref="T30" si="22">N30</f>
        <v>0</v>
      </c>
    </row>
    <row r="31" spans="1:25" ht="12.75" customHeight="1" x14ac:dyDescent="0.25">
      <c r="F31" s="100"/>
      <c r="I31" s="100"/>
      <c r="O31" s="100"/>
      <c r="Y31"/>
    </row>
    <row r="32" spans="1:25" ht="12.75" customHeight="1" x14ac:dyDescent="0.25">
      <c r="F32" s="100"/>
      <c r="I32" s="100"/>
      <c r="O32" s="100"/>
      <c r="Y32"/>
    </row>
    <row r="33" spans="3:25" ht="12.75" customHeight="1" x14ac:dyDescent="0.25">
      <c r="C33" s="5" t="s">
        <v>12</v>
      </c>
      <c r="F33" s="100"/>
      <c r="I33" s="100"/>
      <c r="O33" s="100"/>
      <c r="Y33"/>
    </row>
    <row r="34" spans="3:25" ht="12.75" customHeight="1" x14ac:dyDescent="0.2">
      <c r="C34" s="28" t="s">
        <v>1</v>
      </c>
      <c r="D34" s="28" t="s">
        <v>4</v>
      </c>
      <c r="E34" s="28"/>
      <c r="F34" s="100"/>
      <c r="G34" s="28"/>
      <c r="H34" s="29"/>
      <c r="I34" s="100"/>
      <c r="J34" s="28"/>
      <c r="K34" s="28"/>
      <c r="L34" s="28"/>
      <c r="M34" s="28"/>
      <c r="N34" s="28"/>
      <c r="O34" s="100"/>
      <c r="P34" s="30">
        <f t="shared" ref="P34:P39" si="23">SUMPRODUCT(($D$10:$D$30=$D34)*($E$10:$E$30=$C34)*P$10:P$30)</f>
        <v>0</v>
      </c>
      <c r="Q34" s="30">
        <f t="shared" ref="Q34:T39" si="24">SUMPRODUCT(($D$10:$D$30=$D34)*($E$10:$E$30=$C34)*Q$10:Q$30)</f>
        <v>1106673.75</v>
      </c>
      <c r="R34" s="30">
        <f t="shared" si="24"/>
        <v>2939673.75</v>
      </c>
      <c r="S34" s="30">
        <f t="shared" si="24"/>
        <v>274950</v>
      </c>
      <c r="T34" s="30">
        <f t="shared" si="24"/>
        <v>0</v>
      </c>
    </row>
    <row r="35" spans="3:25" ht="12.75" customHeight="1" x14ac:dyDescent="0.2">
      <c r="C35" s="4" t="s">
        <v>0</v>
      </c>
      <c r="D35" s="4" t="s">
        <v>4</v>
      </c>
      <c r="E35" s="4"/>
      <c r="F35" s="100"/>
      <c r="G35" s="4"/>
      <c r="H35" s="13"/>
      <c r="I35" s="100"/>
      <c r="J35" s="4"/>
      <c r="K35" s="4"/>
      <c r="L35" s="4"/>
      <c r="M35" s="4"/>
      <c r="N35" s="4"/>
      <c r="O35" s="100"/>
      <c r="P35" s="9">
        <f t="shared" si="23"/>
        <v>0</v>
      </c>
      <c r="Q35" s="9">
        <f t="shared" si="24"/>
        <v>517500</v>
      </c>
      <c r="R35" s="9">
        <f t="shared" si="24"/>
        <v>717500</v>
      </c>
      <c r="S35" s="9">
        <f t="shared" si="24"/>
        <v>600000</v>
      </c>
      <c r="T35" s="9">
        <f t="shared" si="24"/>
        <v>0</v>
      </c>
    </row>
    <row r="36" spans="3:25" ht="12.75" customHeight="1" x14ac:dyDescent="0.2">
      <c r="C36" s="4" t="s">
        <v>3</v>
      </c>
      <c r="D36" s="4" t="s">
        <v>4</v>
      </c>
      <c r="E36" s="4"/>
      <c r="F36" s="100"/>
      <c r="G36" s="4"/>
      <c r="H36" s="13"/>
      <c r="I36" s="100"/>
      <c r="J36" s="4"/>
      <c r="K36" s="4"/>
      <c r="L36" s="4"/>
      <c r="M36" s="4"/>
      <c r="N36" s="4"/>
      <c r="O36" s="100"/>
      <c r="P36" s="9">
        <f t="shared" si="23"/>
        <v>0</v>
      </c>
      <c r="Q36" s="9">
        <f t="shared" si="24"/>
        <v>0</v>
      </c>
      <c r="R36" s="9">
        <f t="shared" si="24"/>
        <v>2204000</v>
      </c>
      <c r="S36" s="9">
        <f t="shared" si="24"/>
        <v>0</v>
      </c>
      <c r="T36" s="9">
        <f t="shared" si="24"/>
        <v>0</v>
      </c>
    </row>
    <row r="37" spans="3:25" ht="12.75" customHeight="1" x14ac:dyDescent="0.2">
      <c r="C37" s="4" t="s">
        <v>1</v>
      </c>
      <c r="D37" s="4" t="s">
        <v>40</v>
      </c>
      <c r="E37" s="4"/>
      <c r="F37" s="100"/>
      <c r="G37" s="4"/>
      <c r="H37" s="13"/>
      <c r="I37" s="100"/>
      <c r="J37" s="4"/>
      <c r="K37" s="4"/>
      <c r="L37" s="4"/>
      <c r="M37" s="4"/>
      <c r="N37" s="4"/>
      <c r="O37" s="100"/>
      <c r="P37" s="9">
        <f t="shared" si="23"/>
        <v>0</v>
      </c>
      <c r="Q37" s="9">
        <f t="shared" si="24"/>
        <v>0</v>
      </c>
      <c r="R37" s="9">
        <f t="shared" si="24"/>
        <v>0</v>
      </c>
      <c r="S37" s="9">
        <f t="shared" si="24"/>
        <v>0</v>
      </c>
      <c r="T37" s="9">
        <f t="shared" si="24"/>
        <v>0</v>
      </c>
    </row>
    <row r="38" spans="3:25" ht="12.75" customHeight="1" x14ac:dyDescent="0.2">
      <c r="C38" s="4" t="s">
        <v>0</v>
      </c>
      <c r="D38" s="4" t="s">
        <v>40</v>
      </c>
      <c r="E38" s="4"/>
      <c r="F38" s="100"/>
      <c r="G38" s="4"/>
      <c r="H38" s="13"/>
      <c r="I38" s="100"/>
      <c r="J38" s="4"/>
      <c r="K38" s="4"/>
      <c r="L38" s="4"/>
      <c r="M38" s="4"/>
      <c r="N38" s="4"/>
      <c r="O38" s="100"/>
      <c r="P38" s="9">
        <f t="shared" si="23"/>
        <v>0</v>
      </c>
      <c r="Q38" s="9">
        <f t="shared" si="24"/>
        <v>0</v>
      </c>
      <c r="R38" s="9">
        <f t="shared" si="24"/>
        <v>0</v>
      </c>
      <c r="S38" s="9">
        <f t="shared" si="24"/>
        <v>0</v>
      </c>
      <c r="T38" s="9">
        <f t="shared" si="24"/>
        <v>0</v>
      </c>
    </row>
    <row r="39" spans="3:25" ht="12.75" customHeight="1" x14ac:dyDescent="0.2">
      <c r="C39" s="4" t="s">
        <v>3</v>
      </c>
      <c r="D39" s="4" t="s">
        <v>40</v>
      </c>
      <c r="E39" s="7"/>
      <c r="F39" s="100"/>
      <c r="G39" s="7"/>
      <c r="H39" s="31"/>
      <c r="I39" s="100"/>
      <c r="J39" s="7"/>
      <c r="K39" s="7"/>
      <c r="L39" s="7"/>
      <c r="M39" s="7"/>
      <c r="N39" s="7"/>
      <c r="O39" s="100"/>
      <c r="P39" s="164">
        <f t="shared" si="23"/>
        <v>0</v>
      </c>
      <c r="Q39" s="164">
        <f t="shared" si="24"/>
        <v>0</v>
      </c>
      <c r="R39" s="164">
        <f t="shared" si="24"/>
        <v>0</v>
      </c>
      <c r="S39" s="164">
        <f t="shared" si="24"/>
        <v>0</v>
      </c>
      <c r="T39" s="164">
        <f t="shared" si="24"/>
        <v>0</v>
      </c>
    </row>
    <row r="40" spans="3:25" ht="12.75" customHeight="1" x14ac:dyDescent="0.2">
      <c r="C40" s="10" t="str">
        <f>"Total Expenditure ($ "&amp;Assumptions!$B$8&amp;")"</f>
        <v>Total Expenditure ($ 2018)</v>
      </c>
      <c r="D40" s="10"/>
      <c r="E40" s="10"/>
      <c r="F40" s="100"/>
      <c r="G40" s="10"/>
      <c r="H40" s="14"/>
      <c r="I40" s="100"/>
      <c r="J40" s="10"/>
      <c r="K40" s="10"/>
      <c r="L40" s="10"/>
      <c r="M40" s="10"/>
      <c r="N40" s="10"/>
      <c r="O40" s="100"/>
      <c r="P40" s="11">
        <f>SUM(P34:P39)</f>
        <v>0</v>
      </c>
      <c r="Q40" s="11">
        <f t="shared" ref="Q40:T40" si="25">SUM(Q34:Q39)</f>
        <v>1624173.75</v>
      </c>
      <c r="R40" s="11">
        <f t="shared" si="25"/>
        <v>5861173.75</v>
      </c>
      <c r="S40" s="11">
        <f t="shared" si="25"/>
        <v>874950</v>
      </c>
      <c r="T40" s="11">
        <f t="shared" si="25"/>
        <v>0</v>
      </c>
      <c r="U40" s="44"/>
      <c r="V40" s="100"/>
      <c r="W40" s="100"/>
      <c r="X40" s="100"/>
    </row>
    <row r="41" spans="3:25" ht="12.75" customHeight="1" x14ac:dyDescent="0.2">
      <c r="C41" s="28" t="str">
        <f>"Total Expenditure ($ "&amp;Assumptions!B17&amp;")"</f>
        <v>Total Expenditure ($ 2020/21)</v>
      </c>
      <c r="D41" s="28"/>
      <c r="E41" s="28"/>
      <c r="F41" s="100"/>
      <c r="G41" s="28"/>
      <c r="H41" s="29"/>
      <c r="I41" s="100"/>
      <c r="J41" s="28"/>
      <c r="K41" s="28"/>
      <c r="L41" s="28"/>
      <c r="M41" s="28"/>
      <c r="N41" s="28"/>
      <c r="O41" s="100"/>
      <c r="P41" s="45">
        <f>P40*Assumptions!$B$18</f>
        <v>0</v>
      </c>
      <c r="Q41" s="45">
        <f>Q40*Assumptions!$B$18</f>
        <v>1720070.1835095261</v>
      </c>
      <c r="R41" s="45">
        <f>R40*Assumptions!$B$18</f>
        <v>6207236.268745088</v>
      </c>
      <c r="S41" s="45">
        <f>S40*Assumptions!$B$18</f>
        <v>926609.85751164856</v>
      </c>
      <c r="T41" s="45">
        <f>T40*Assumptions!$B$18</f>
        <v>0</v>
      </c>
      <c r="U41" s="44"/>
      <c r="V41" s="100"/>
      <c r="W41" s="100"/>
      <c r="X41" s="100"/>
    </row>
    <row r="42" spans="3:25" x14ac:dyDescent="0.2">
      <c r="C42" s="101" t="s">
        <v>11</v>
      </c>
      <c r="D42" s="101"/>
      <c r="E42" s="101"/>
      <c r="F42" s="100"/>
      <c r="G42" s="101"/>
      <c r="H42" s="101"/>
      <c r="I42" s="100"/>
      <c r="J42" s="101"/>
      <c r="K42" s="101"/>
      <c r="L42" s="101"/>
      <c r="M42" s="101"/>
      <c r="N42" s="101"/>
      <c r="O42" s="100"/>
      <c r="P42" s="102">
        <f>P40-SUM(P26:P29,P19:P23, P10:P16)</f>
        <v>0</v>
      </c>
      <c r="Q42" s="102">
        <f>Q40-SUM(Q26:Q29,Q19:Q23, Q10:Q16)</f>
        <v>0</v>
      </c>
      <c r="R42" s="102">
        <f>R40-SUM(R26:R29,R19:R23, R10:R16)</f>
        <v>0</v>
      </c>
      <c r="S42" s="102">
        <f>S40-SUM(S26:S29,S19:S23, S10:S16)</f>
        <v>0</v>
      </c>
      <c r="T42" s="102">
        <f>T40-SUM(T26:T29,T19:T23, T10:T16)</f>
        <v>0</v>
      </c>
      <c r="U42" s="100"/>
      <c r="V42" s="102">
        <f>SUM(P42:T42)</f>
        <v>0</v>
      </c>
      <c r="W42" s="100"/>
      <c r="X42" s="100"/>
    </row>
    <row r="43" spans="3:25" ht="12.75" customHeight="1" x14ac:dyDescent="0.2">
      <c r="C43" s="100"/>
      <c r="D43" s="100"/>
      <c r="E43" s="100"/>
      <c r="F43" s="100"/>
      <c r="G43" s="100"/>
      <c r="I43" s="100"/>
      <c r="J43" s="100"/>
      <c r="K43" s="100"/>
      <c r="L43" s="100"/>
      <c r="M43" s="100"/>
      <c r="N43" s="100"/>
      <c r="O43" s="100"/>
      <c r="P43" s="100"/>
      <c r="Q43" s="100"/>
      <c r="R43" s="100"/>
      <c r="S43" s="100"/>
      <c r="T43" s="100"/>
      <c r="U43" s="100"/>
      <c r="V43" s="100"/>
      <c r="W43" s="100"/>
      <c r="X43" s="100"/>
    </row>
    <row r="44" spans="3:25" ht="12.75" customHeight="1" x14ac:dyDescent="0.2">
      <c r="C44" s="157" t="str">
        <f>"NPV ($ "&amp;Assumptions!$B$17&amp;")"</f>
        <v>NPV ($ 2020/21)</v>
      </c>
      <c r="D44" s="158">
        <f>NPV(Assumptions!$B$6,$P$41:$T$41)</f>
        <v>8182617.9909044243</v>
      </c>
      <c r="E44" s="40"/>
      <c r="F44" s="100"/>
      <c r="G44" s="100"/>
      <c r="I44" s="100"/>
      <c r="J44" s="100"/>
      <c r="K44" s="100"/>
      <c r="L44" s="100"/>
      <c r="M44" s="100"/>
      <c r="N44" s="100"/>
      <c r="O44" s="100"/>
      <c r="P44" s="145"/>
      <c r="Q44" s="100"/>
      <c r="R44" s="100"/>
      <c r="S44" s="100"/>
      <c r="T44" s="100"/>
      <c r="U44" s="100"/>
      <c r="V44" s="100"/>
      <c r="W44" s="100"/>
      <c r="X44" s="100"/>
    </row>
    <row r="45" spans="3:25" ht="12.75" customHeight="1" x14ac:dyDescent="0.2">
      <c r="F45" s="100"/>
      <c r="I45" s="100"/>
      <c r="O45" s="100"/>
    </row>
    <row r="46" spans="3:25" ht="12.75" customHeight="1" x14ac:dyDescent="0.2">
      <c r="F46" s="100"/>
      <c r="I46" s="100"/>
      <c r="O46" s="100"/>
      <c r="P46" s="100"/>
      <c r="Q46" s="100"/>
      <c r="R46" s="100"/>
      <c r="S46" s="100"/>
      <c r="T46" s="100"/>
    </row>
    <row r="47" spans="3:25" ht="12.75" customHeight="1" x14ac:dyDescent="0.2">
      <c r="F47" s="100"/>
      <c r="I47" s="100"/>
      <c r="O47" s="100"/>
    </row>
    <row r="48" spans="3:25" ht="12.75" customHeight="1" x14ac:dyDescent="0.2">
      <c r="F48" s="100"/>
      <c r="I48" s="100"/>
      <c r="O48" s="100"/>
    </row>
    <row r="49" ht="12.75" customHeight="1" x14ac:dyDescent="0.2"/>
  </sheetData>
  <conditionalFormatting sqref="P42">
    <cfRule type="expression" dxfId="4" priority="5">
      <formula>ABS(P42)&gt;0.001</formula>
    </cfRule>
  </conditionalFormatting>
  <conditionalFormatting sqref="Q42">
    <cfRule type="expression" dxfId="3" priority="4">
      <formula>ABS(Q42)&gt;0.001</formula>
    </cfRule>
  </conditionalFormatting>
  <conditionalFormatting sqref="R42">
    <cfRule type="expression" dxfId="2" priority="3">
      <formula>ABS(R42)&gt;0.001</formula>
    </cfRule>
  </conditionalFormatting>
  <conditionalFormatting sqref="T42">
    <cfRule type="expression" dxfId="1" priority="2">
      <formula>ABS(T42)&gt;0.001</formula>
    </cfRule>
  </conditionalFormatting>
  <conditionalFormatting sqref="V42">
    <cfRule type="expression" dxfId="0" priority="1">
      <formula>ABS(V42)&gt;0.001</formula>
    </cfRule>
  </conditionalFormatting>
  <dataValidations disablePrompts="1" count="2">
    <dataValidation type="list" allowBlank="1" showInputMessage="1" showErrorMessage="1" sqref="E10:E16 E19:E23 E26:E30">
      <formula1>"Labour, Materials, Contracts"</formula1>
    </dataValidation>
    <dataValidation type="list" allowBlank="1" showInputMessage="1" showErrorMessage="1" sqref="D10:D16 D19:D23 D26:D30">
      <formula1>"CapEx, OpEx"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V115"/>
  <sheetViews>
    <sheetView showGridLines="0" zoomScale="90" zoomScaleNormal="90" workbookViewId="0"/>
  </sheetViews>
  <sheetFormatPr defaultColWidth="9.140625" defaultRowHeight="12.75" x14ac:dyDescent="0.2"/>
  <cols>
    <col min="1" max="1" width="4.5703125" style="100" customWidth="1"/>
    <col min="2" max="2" width="2.42578125" style="100" customWidth="1"/>
    <col min="3" max="3" width="78.85546875" style="100" customWidth="1"/>
    <col min="4" max="4" width="9.140625" style="100"/>
    <col min="5" max="6" width="16.5703125" style="100" bestFit="1" customWidth="1"/>
    <col min="7" max="7" width="15.85546875" style="100" customWidth="1"/>
    <col min="8" max="8" width="12.42578125" style="100" bestFit="1" customWidth="1"/>
    <col min="9" max="11" width="15.85546875" style="100" customWidth="1"/>
    <col min="12" max="16" width="10.85546875" style="100" bestFit="1" customWidth="1"/>
    <col min="17" max="16384" width="9.140625" style="100"/>
  </cols>
  <sheetData>
    <row r="1" spans="1:22" ht="21" x14ac:dyDescent="0.35">
      <c r="A1" s="18" t="str">
        <f>Assumptions!A1</f>
        <v>Intelligent Engineering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</row>
    <row r="2" spans="1:22" ht="15.75" x14ac:dyDescent="0.25">
      <c r="A2" s="17" t="str">
        <f>Assumptions!A2</f>
        <v>VPN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</row>
    <row r="3" spans="1:22" s="22" customFormat="1" ht="15" x14ac:dyDescent="0.25">
      <c r="A3" s="37" t="s">
        <v>87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V3" s="136"/>
    </row>
    <row r="5" spans="1:22" x14ac:dyDescent="0.2">
      <c r="E5" s="127" t="s">
        <v>144</v>
      </c>
      <c r="F5" s="127" t="s">
        <v>145</v>
      </c>
      <c r="G5" s="127" t="s">
        <v>143</v>
      </c>
      <c r="I5" s="127" t="s">
        <v>89</v>
      </c>
    </row>
    <row r="6" spans="1:22" x14ac:dyDescent="0.2">
      <c r="B6" s="128" t="s">
        <v>90</v>
      </c>
    </row>
    <row r="7" spans="1:22" x14ac:dyDescent="0.2">
      <c r="C7" s="100" t="s">
        <v>91</v>
      </c>
      <c r="D7" s="12" t="s">
        <v>92</v>
      </c>
      <c r="E7" s="112">
        <v>304231</v>
      </c>
      <c r="F7" s="112">
        <v>819837</v>
      </c>
      <c r="G7" s="112">
        <f>SUM(E7:F7)</f>
        <v>1124068</v>
      </c>
    </row>
    <row r="8" spans="1:22" x14ac:dyDescent="0.2">
      <c r="C8" s="100" t="s">
        <v>93</v>
      </c>
      <c r="D8" s="12" t="s">
        <v>92</v>
      </c>
      <c r="E8" s="112">
        <v>59391</v>
      </c>
      <c r="F8" s="112">
        <v>112413</v>
      </c>
      <c r="G8" s="112">
        <f>SUM(E8:F8)</f>
        <v>171804</v>
      </c>
    </row>
    <row r="9" spans="1:22" x14ac:dyDescent="0.2">
      <c r="C9" s="100" t="s">
        <v>94</v>
      </c>
      <c r="D9" s="12" t="s">
        <v>92</v>
      </c>
      <c r="E9" s="129">
        <f t="shared" ref="E9:G9" si="0">SUM(E7:E8)</f>
        <v>363622</v>
      </c>
      <c r="F9" s="129">
        <f t="shared" si="0"/>
        <v>932250</v>
      </c>
      <c r="G9" s="129">
        <f t="shared" si="0"/>
        <v>1295872</v>
      </c>
    </row>
    <row r="11" spans="1:22" x14ac:dyDescent="0.2">
      <c r="B11" s="128" t="s">
        <v>86</v>
      </c>
    </row>
    <row r="12" spans="1:22" x14ac:dyDescent="0.2">
      <c r="C12" s="100" t="s">
        <v>85</v>
      </c>
      <c r="D12" s="12" t="s">
        <v>82</v>
      </c>
      <c r="E12" s="130">
        <v>1190.3</v>
      </c>
      <c r="F12" s="130">
        <v>1190.3</v>
      </c>
      <c r="G12" s="130">
        <v>1190.3</v>
      </c>
      <c r="I12" s="137" t="s">
        <v>84</v>
      </c>
    </row>
    <row r="13" spans="1:22" x14ac:dyDescent="0.2">
      <c r="C13" s="100" t="s">
        <v>83</v>
      </c>
      <c r="D13" s="12" t="s">
        <v>82</v>
      </c>
      <c r="E13" s="131">
        <f>E12/(7*16*60)</f>
        <v>0.17712797619047618</v>
      </c>
      <c r="F13" s="131">
        <f>F12/(7*16*60)</f>
        <v>0.17712797619047618</v>
      </c>
      <c r="G13" s="131">
        <f>G12/(7*16*60)</f>
        <v>0.17712797619047618</v>
      </c>
    </row>
    <row r="14" spans="1:22" x14ac:dyDescent="0.2">
      <c r="C14" s="100" t="s">
        <v>81</v>
      </c>
      <c r="D14" s="12" t="s">
        <v>67</v>
      </c>
      <c r="E14" s="131">
        <f>E13*(1+Assumptions!$H$13)</f>
        <v>0.17994948377581121</v>
      </c>
      <c r="F14" s="131">
        <f>F13*(1+Assumptions!$H$13)</f>
        <v>0.17994948377581121</v>
      </c>
      <c r="G14" s="131">
        <f>G13*(1+Assumptions!$H$13)</f>
        <v>0.17994948377581121</v>
      </c>
    </row>
    <row r="16" spans="1:22" x14ac:dyDescent="0.2">
      <c r="B16" s="128" t="s">
        <v>80</v>
      </c>
      <c r="I16" s="137" t="s">
        <v>79</v>
      </c>
    </row>
    <row r="17" spans="1:9" x14ac:dyDescent="0.2">
      <c r="C17" s="100" t="s">
        <v>78</v>
      </c>
      <c r="D17" s="12" t="s">
        <v>67</v>
      </c>
      <c r="E17" s="130">
        <v>165015000000</v>
      </c>
      <c r="F17" s="130">
        <v>165015000000</v>
      </c>
      <c r="G17" s="130">
        <v>165015000000</v>
      </c>
      <c r="I17" s="137" t="s">
        <v>77</v>
      </c>
    </row>
    <row r="18" spans="1:9" x14ac:dyDescent="0.2">
      <c r="C18" s="100" t="s">
        <v>76</v>
      </c>
      <c r="D18" s="12" t="s">
        <v>68</v>
      </c>
      <c r="E18" s="112">
        <v>618189</v>
      </c>
      <c r="F18" s="112">
        <v>618189</v>
      </c>
      <c r="G18" s="112">
        <v>618189</v>
      </c>
      <c r="I18" s="137" t="s">
        <v>75</v>
      </c>
    </row>
    <row r="19" spans="1:9" x14ac:dyDescent="0.2">
      <c r="C19" s="100" t="s">
        <v>74</v>
      </c>
      <c r="D19" s="12" t="s">
        <v>67</v>
      </c>
      <c r="E19" s="132">
        <f t="shared" ref="E19:G19" si="1">E17/E18</f>
        <v>266932.92827921559</v>
      </c>
      <c r="F19" s="132">
        <f t="shared" si="1"/>
        <v>266932.92827921559</v>
      </c>
      <c r="G19" s="132">
        <f t="shared" si="1"/>
        <v>266932.92827921559</v>
      </c>
    </row>
    <row r="20" spans="1:9" x14ac:dyDescent="0.2">
      <c r="C20" s="100" t="s">
        <v>73</v>
      </c>
      <c r="D20" s="12" t="s">
        <v>67</v>
      </c>
      <c r="E20" s="131">
        <f>E19/(365*16*60)</f>
        <v>0.761794886641597</v>
      </c>
      <c r="F20" s="131">
        <f>F19/(365*16*60)</f>
        <v>0.761794886641597</v>
      </c>
      <c r="G20" s="131">
        <f>G19/(365*16*60)</f>
        <v>0.761794886641597</v>
      </c>
    </row>
    <row r="22" spans="1:9" x14ac:dyDescent="0.2">
      <c r="B22" s="100" t="s">
        <v>72</v>
      </c>
      <c r="D22" s="12" t="s">
        <v>67</v>
      </c>
      <c r="E22" s="151">
        <f t="shared" ref="E22:F22" si="2">(E7*E14+E8*E20)/E9</f>
        <v>0.27498328349530532</v>
      </c>
      <c r="F22" s="151">
        <f t="shared" si="2"/>
        <v>0.25010983483223553</v>
      </c>
      <c r="G22" s="151">
        <f>(G7*G14+G8*G20)/G9</f>
        <v>0.25708933060786981</v>
      </c>
    </row>
    <row r="23" spans="1:9" x14ac:dyDescent="0.2">
      <c r="B23" s="128" t="s">
        <v>72</v>
      </c>
      <c r="D23" s="12" t="s">
        <v>60</v>
      </c>
      <c r="E23" s="151">
        <f>E22/Assumptions!$H$14*Assumptions!$J$14</f>
        <v>0.28665302515600916</v>
      </c>
      <c r="F23" s="151">
        <f>F22/Assumptions!$H$14*Assumptions!$J$14</f>
        <v>0.26072399698127147</v>
      </c>
      <c r="G23" s="151">
        <f>G22/Assumptions!$H$14*Assumptions!$J$14</f>
        <v>0.26799968862593576</v>
      </c>
    </row>
    <row r="25" spans="1:9" ht="15" x14ac:dyDescent="0.25">
      <c r="A25" s="124" t="s">
        <v>95</v>
      </c>
    </row>
    <row r="26" spans="1:9" x14ac:dyDescent="0.2">
      <c r="B26" s="128" t="s">
        <v>116</v>
      </c>
    </row>
    <row r="27" spans="1:9" x14ac:dyDescent="0.2">
      <c r="C27" s="100" t="s">
        <v>117</v>
      </c>
      <c r="D27" s="2" t="s">
        <v>68</v>
      </c>
      <c r="E27" s="2"/>
      <c r="F27" s="2"/>
      <c r="G27" s="112">
        <v>244658</v>
      </c>
    </row>
    <row r="28" spans="1:9" x14ac:dyDescent="0.2">
      <c r="C28" s="100" t="s">
        <v>118</v>
      </c>
      <c r="D28" s="2" t="s">
        <v>68</v>
      </c>
      <c r="E28" s="2"/>
      <c r="F28" s="2"/>
      <c r="G28" s="112">
        <v>8907</v>
      </c>
    </row>
    <row r="29" spans="1:9" x14ac:dyDescent="0.2">
      <c r="C29" s="100" t="s">
        <v>119</v>
      </c>
      <c r="D29" s="2" t="s">
        <v>69</v>
      </c>
      <c r="E29" s="2"/>
      <c r="F29" s="2"/>
      <c r="G29" s="112">
        <v>75</v>
      </c>
    </row>
    <row r="30" spans="1:9" x14ac:dyDescent="0.2">
      <c r="C30" s="100" t="s">
        <v>148</v>
      </c>
      <c r="D30" s="2" t="s">
        <v>71</v>
      </c>
      <c r="E30" s="2"/>
      <c r="F30" s="2"/>
      <c r="G30" s="138">
        <v>0.3</v>
      </c>
    </row>
    <row r="31" spans="1:9" x14ac:dyDescent="0.2">
      <c r="C31" s="100" t="s">
        <v>120</v>
      </c>
      <c r="D31" s="2" t="s">
        <v>68</v>
      </c>
      <c r="E31" s="2"/>
      <c r="F31" s="2"/>
      <c r="G31" s="112">
        <v>250</v>
      </c>
    </row>
    <row r="32" spans="1:9" x14ac:dyDescent="0.2">
      <c r="C32" s="100" t="s">
        <v>121</v>
      </c>
      <c r="D32" s="2" t="s">
        <v>71</v>
      </c>
      <c r="E32" s="2"/>
      <c r="F32" s="2"/>
      <c r="G32" s="138">
        <v>0.3</v>
      </c>
    </row>
    <row r="33" spans="1:7" x14ac:dyDescent="0.2">
      <c r="C33" s="100" t="s">
        <v>122</v>
      </c>
      <c r="D33" s="2" t="s">
        <v>69</v>
      </c>
      <c r="E33" s="2"/>
      <c r="F33" s="2"/>
      <c r="G33" s="112">
        <f>8*60</f>
        <v>480</v>
      </c>
    </row>
    <row r="34" spans="1:7" ht="15" x14ac:dyDescent="0.25">
      <c r="B34" s="42" t="s">
        <v>142</v>
      </c>
      <c r="D34" s="42" t="s">
        <v>69</v>
      </c>
      <c r="E34" s="2"/>
      <c r="F34" s="2"/>
      <c r="G34" s="125">
        <f>G33*G31*G32+G29*G28*G30</f>
        <v>236407.5</v>
      </c>
    </row>
    <row r="35" spans="1:7" x14ac:dyDescent="0.2">
      <c r="D35" s="2"/>
      <c r="E35" s="2"/>
      <c r="F35" s="2"/>
      <c r="G35" s="134"/>
    </row>
    <row r="36" spans="1:7" x14ac:dyDescent="0.2">
      <c r="B36" s="42" t="s">
        <v>123</v>
      </c>
    </row>
    <row r="37" spans="1:7" x14ac:dyDescent="0.2">
      <c r="C37" s="100" t="s">
        <v>124</v>
      </c>
      <c r="D37" s="2" t="s">
        <v>69</v>
      </c>
      <c r="E37" s="2"/>
      <c r="F37" s="2"/>
      <c r="G37" s="112">
        <v>5</v>
      </c>
    </row>
    <row r="38" spans="1:7" x14ac:dyDescent="0.2">
      <c r="C38" s="100" t="s">
        <v>125</v>
      </c>
      <c r="D38" s="2" t="s">
        <v>69</v>
      </c>
      <c r="E38" s="2"/>
      <c r="F38" s="2"/>
      <c r="G38" s="112">
        <v>15</v>
      </c>
    </row>
    <row r="39" spans="1:7" x14ac:dyDescent="0.2">
      <c r="C39" s="100" t="s">
        <v>126</v>
      </c>
      <c r="D39" s="2" t="s">
        <v>71</v>
      </c>
      <c r="E39" s="2"/>
      <c r="F39" s="2"/>
      <c r="G39" s="138">
        <v>0.75</v>
      </c>
    </row>
    <row r="40" spans="1:7" x14ac:dyDescent="0.2">
      <c r="C40" s="100" t="s">
        <v>127</v>
      </c>
      <c r="D40" s="2" t="s">
        <v>69</v>
      </c>
      <c r="E40" s="2"/>
      <c r="F40" s="2"/>
      <c r="G40" s="152">
        <f>(G37+G38)*G39</f>
        <v>15</v>
      </c>
    </row>
    <row r="41" spans="1:7" x14ac:dyDescent="0.2">
      <c r="B41" s="128" t="s">
        <v>128</v>
      </c>
      <c r="D41" s="2" t="s">
        <v>69</v>
      </c>
      <c r="E41" s="2"/>
      <c r="F41" s="2"/>
      <c r="G41" s="140">
        <f>G27*G40</f>
        <v>3669870</v>
      </c>
    </row>
    <row r="42" spans="1:7" x14ac:dyDescent="0.2">
      <c r="D42" s="42"/>
      <c r="E42" s="42"/>
      <c r="F42" s="42"/>
      <c r="G42" s="135"/>
    </row>
    <row r="44" spans="1:7" ht="15" x14ac:dyDescent="0.25">
      <c r="A44" s="124" t="s">
        <v>70</v>
      </c>
      <c r="D44" s="2"/>
      <c r="E44" s="2"/>
      <c r="F44" s="2"/>
      <c r="G44" s="122" t="s">
        <v>96</v>
      </c>
    </row>
    <row r="45" spans="1:7" x14ac:dyDescent="0.2">
      <c r="B45" s="42" t="s">
        <v>129</v>
      </c>
      <c r="D45" s="2"/>
      <c r="E45" s="2"/>
      <c r="F45" s="2"/>
    </row>
    <row r="46" spans="1:7" x14ac:dyDescent="0.2">
      <c r="B46" s="42"/>
      <c r="C46" s="100" t="s">
        <v>130</v>
      </c>
      <c r="D46" s="2" t="s">
        <v>68</v>
      </c>
      <c r="E46" s="2"/>
      <c r="F46" s="2"/>
      <c r="G46" s="112">
        <v>3000</v>
      </c>
    </row>
    <row r="47" spans="1:7" x14ac:dyDescent="0.2">
      <c r="B47" s="42"/>
      <c r="C47" s="100" t="s">
        <v>131</v>
      </c>
      <c r="D47" s="2" t="s">
        <v>69</v>
      </c>
      <c r="E47" s="2"/>
      <c r="F47" s="2"/>
      <c r="G47" s="112">
        <v>300</v>
      </c>
    </row>
    <row r="48" spans="1:7" x14ac:dyDescent="0.2">
      <c r="B48" s="42"/>
      <c r="C48" s="100" t="s">
        <v>132</v>
      </c>
      <c r="D48" s="2" t="s">
        <v>71</v>
      </c>
      <c r="E48" s="2"/>
      <c r="F48" s="2"/>
      <c r="G48" s="138">
        <v>0.3</v>
      </c>
    </row>
    <row r="49" spans="2:7" x14ac:dyDescent="0.2">
      <c r="B49" s="42"/>
      <c r="C49" s="100" t="s">
        <v>133</v>
      </c>
      <c r="D49" s="2" t="s">
        <v>69</v>
      </c>
      <c r="E49" s="2"/>
      <c r="F49" s="2"/>
      <c r="G49" s="152">
        <f>G46*G47*G48</f>
        <v>270000</v>
      </c>
    </row>
    <row r="50" spans="2:7" x14ac:dyDescent="0.2">
      <c r="C50" s="2" t="s">
        <v>134</v>
      </c>
      <c r="D50" s="2" t="s">
        <v>69</v>
      </c>
      <c r="E50" s="2"/>
      <c r="F50" s="2"/>
      <c r="G50" s="112">
        <f>220*7.5*60</f>
        <v>99000</v>
      </c>
    </row>
    <row r="51" spans="2:7" x14ac:dyDescent="0.2">
      <c r="C51" s="2" t="s">
        <v>135</v>
      </c>
      <c r="D51" s="2" t="s">
        <v>68</v>
      </c>
      <c r="E51" s="2"/>
      <c r="F51" s="2"/>
      <c r="G51" s="154">
        <f>G49/G50</f>
        <v>2.7272727272727271</v>
      </c>
    </row>
    <row r="52" spans="2:7" x14ac:dyDescent="0.2">
      <c r="C52" s="42" t="s">
        <v>158</v>
      </c>
      <c r="D52" s="42" t="s">
        <v>67</v>
      </c>
      <c r="E52" s="42"/>
      <c r="F52" s="42"/>
      <c r="G52" s="112">
        <v>83726.5</v>
      </c>
    </row>
    <row r="53" spans="2:7" x14ac:dyDescent="0.2">
      <c r="C53" s="42" t="s">
        <v>136</v>
      </c>
      <c r="D53" s="42" t="s">
        <v>67</v>
      </c>
      <c r="E53" s="42"/>
      <c r="F53" s="42"/>
      <c r="G53" s="139">
        <f>G51*G52</f>
        <v>228344.99999999997</v>
      </c>
    </row>
    <row r="54" spans="2:7" x14ac:dyDescent="0.2">
      <c r="C54" s="42"/>
      <c r="D54" s="42"/>
      <c r="E54" s="42"/>
      <c r="F54" s="42"/>
    </row>
    <row r="55" spans="2:7" x14ac:dyDescent="0.2">
      <c r="B55" s="42" t="s">
        <v>152</v>
      </c>
      <c r="D55" s="2"/>
      <c r="E55" s="2"/>
      <c r="F55" s="2"/>
    </row>
    <row r="56" spans="2:7" x14ac:dyDescent="0.2">
      <c r="C56" s="2" t="s">
        <v>153</v>
      </c>
      <c r="D56" s="2" t="s">
        <v>68</v>
      </c>
      <c r="E56" s="42"/>
      <c r="F56" s="42"/>
      <c r="G56" s="152">
        <f>G28*G30</f>
        <v>2672.1</v>
      </c>
    </row>
    <row r="57" spans="2:7" x14ac:dyDescent="0.2">
      <c r="C57" s="2" t="s">
        <v>138</v>
      </c>
      <c r="D57" s="2" t="s">
        <v>67</v>
      </c>
      <c r="E57" s="42"/>
      <c r="F57" s="42"/>
      <c r="G57" s="112">
        <v>750</v>
      </c>
    </row>
    <row r="58" spans="2:7" x14ac:dyDescent="0.2">
      <c r="C58" s="42" t="s">
        <v>154</v>
      </c>
      <c r="D58" s="42" t="s">
        <v>67</v>
      </c>
      <c r="E58" s="42"/>
      <c r="F58" s="42"/>
      <c r="G58" s="140">
        <f>G57*G56</f>
        <v>2004075</v>
      </c>
    </row>
    <row r="59" spans="2:7" x14ac:dyDescent="0.2">
      <c r="C59" s="42"/>
      <c r="D59" s="42"/>
      <c r="E59" s="42"/>
      <c r="F59" s="42"/>
    </row>
    <row r="60" spans="2:7" x14ac:dyDescent="0.2">
      <c r="B60" s="42" t="s">
        <v>137</v>
      </c>
      <c r="C60" s="42"/>
      <c r="D60" s="42"/>
      <c r="E60" s="42"/>
      <c r="F60" s="42"/>
    </row>
    <row r="61" spans="2:7" x14ac:dyDescent="0.2">
      <c r="C61" s="2" t="s">
        <v>139</v>
      </c>
      <c r="D61" s="2" t="s">
        <v>68</v>
      </c>
      <c r="E61" s="2"/>
      <c r="F61" s="2"/>
      <c r="G61" s="152">
        <f>G31*G32</f>
        <v>75</v>
      </c>
    </row>
    <row r="62" spans="2:7" x14ac:dyDescent="0.2">
      <c r="C62" s="2" t="s">
        <v>140</v>
      </c>
      <c r="D62" s="2" t="s">
        <v>67</v>
      </c>
      <c r="E62" s="2"/>
      <c r="F62" s="2"/>
      <c r="G62" s="112">
        <v>6000</v>
      </c>
    </row>
    <row r="63" spans="2:7" x14ac:dyDescent="0.2">
      <c r="C63" s="42" t="s">
        <v>141</v>
      </c>
      <c r="D63" s="42" t="s">
        <v>67</v>
      </c>
      <c r="E63" s="42"/>
      <c r="F63" s="42"/>
      <c r="G63" s="140">
        <f>G62*G61+G57*G56</f>
        <v>2454075</v>
      </c>
    </row>
    <row r="64" spans="2:7" x14ac:dyDescent="0.2">
      <c r="C64" s="2"/>
      <c r="D64" s="2"/>
      <c r="E64" s="2"/>
      <c r="F64" s="2"/>
    </row>
    <row r="65" spans="1:21" x14ac:dyDescent="0.2">
      <c r="C65" s="2" t="s">
        <v>147</v>
      </c>
      <c r="D65" s="2" t="s">
        <v>67</v>
      </c>
      <c r="E65" s="2"/>
      <c r="F65" s="2"/>
      <c r="G65" s="129">
        <f>G63+G53+G58</f>
        <v>4686495</v>
      </c>
    </row>
    <row r="66" spans="1:21" x14ac:dyDescent="0.2">
      <c r="C66" s="42" t="s">
        <v>147</v>
      </c>
      <c r="D66" s="42" t="s">
        <v>60</v>
      </c>
      <c r="E66" s="42"/>
      <c r="F66" s="42"/>
      <c r="G66" s="135">
        <f>(G65)/Assumptions!H14*Assumptions!J14</f>
        <v>4885380.4931434905</v>
      </c>
    </row>
    <row r="68" spans="1:21" x14ac:dyDescent="0.2">
      <c r="A68" s="153" t="s">
        <v>66</v>
      </c>
      <c r="B68" s="141"/>
      <c r="C68" s="141"/>
      <c r="D68" s="141"/>
      <c r="E68" s="141"/>
      <c r="F68" s="141"/>
      <c r="G68" s="141"/>
      <c r="H68" s="141"/>
      <c r="I68" s="141"/>
      <c r="J68" s="141"/>
      <c r="K68" s="141"/>
      <c r="L68" s="141"/>
      <c r="M68" s="141"/>
      <c r="N68" s="141"/>
      <c r="O68" s="2"/>
      <c r="P68" s="2"/>
    </row>
    <row r="69" spans="1:21" s="2" customFormat="1" x14ac:dyDescent="0.2">
      <c r="A69" s="42"/>
    </row>
    <row r="70" spans="1:21" s="2" customFormat="1" x14ac:dyDescent="0.2">
      <c r="A70" s="42"/>
      <c r="C70" s="2" t="s">
        <v>65</v>
      </c>
      <c r="D70" s="112">
        <v>6</v>
      </c>
    </row>
    <row r="71" spans="1:21" s="2" customFormat="1" x14ac:dyDescent="0.2">
      <c r="A71" s="42"/>
    </row>
    <row r="72" spans="1:21" x14ac:dyDescent="0.2">
      <c r="C72" s="142" t="s">
        <v>20</v>
      </c>
      <c r="D72" s="122"/>
      <c r="E72" s="122" t="s">
        <v>15</v>
      </c>
      <c r="F72" s="122" t="s">
        <v>16</v>
      </c>
      <c r="G72" s="122" t="s">
        <v>17</v>
      </c>
      <c r="H72" s="122" t="s">
        <v>18</v>
      </c>
      <c r="I72" s="122" t="s">
        <v>19</v>
      </c>
      <c r="J72" s="122" t="s">
        <v>98</v>
      </c>
      <c r="K72" s="122" t="s">
        <v>99</v>
      </c>
      <c r="L72" s="122" t="s">
        <v>100</v>
      </c>
      <c r="M72" s="122" t="s">
        <v>101</v>
      </c>
      <c r="N72" s="122" t="s">
        <v>102</v>
      </c>
    </row>
    <row r="73" spans="1:21" x14ac:dyDescent="0.2">
      <c r="C73" s="2" t="s">
        <v>63</v>
      </c>
      <c r="D73" s="2" t="s">
        <v>60</v>
      </c>
      <c r="E73" s="143">
        <f>'Option 2'!P$41</f>
        <v>0</v>
      </c>
      <c r="F73" s="143">
        <f>'Option 2'!Q$41</f>
        <v>1720070.1835095261</v>
      </c>
      <c r="G73" s="143">
        <f>'Option 2'!R$41</f>
        <v>6207236.268745088</v>
      </c>
      <c r="H73" s="143">
        <f>'Option 2'!S$41</f>
        <v>926609.85751164856</v>
      </c>
      <c r="I73" s="143">
        <f>'Option 2'!T$41</f>
        <v>0</v>
      </c>
      <c r="J73" s="148">
        <f>E73*0.5</f>
        <v>0</v>
      </c>
      <c r="K73" s="143">
        <f t="shared" ref="K73:N73" si="3">F73*0.5</f>
        <v>860035.09175476304</v>
      </c>
      <c r="L73" s="143">
        <f t="shared" si="3"/>
        <v>3103618.134372544</v>
      </c>
      <c r="M73" s="143">
        <f t="shared" si="3"/>
        <v>463304.92875582428</v>
      </c>
      <c r="N73" s="143">
        <f t="shared" si="3"/>
        <v>0</v>
      </c>
    </row>
    <row r="74" spans="1:21" x14ac:dyDescent="0.2">
      <c r="C74" s="2" t="s">
        <v>62</v>
      </c>
      <c r="D74" s="2" t="s">
        <v>60</v>
      </c>
      <c r="E74" s="12"/>
      <c r="G74" s="165">
        <f>$G$20*$G$34</f>
        <v>180094.02466372334</v>
      </c>
      <c r="H74" s="143">
        <f>$G$20*$G$34</f>
        <v>180094.02466372334</v>
      </c>
      <c r="I74" s="165">
        <f t="shared" ref="I74:N74" si="4">($G$34+$G$41)*$G$20</f>
        <v>2975782.2253031209</v>
      </c>
      <c r="J74" s="165">
        <f t="shared" si="4"/>
        <v>2975782.2253031209</v>
      </c>
      <c r="K74" s="165">
        <f t="shared" si="4"/>
        <v>2975782.2253031209</v>
      </c>
      <c r="L74" s="165">
        <f t="shared" si="4"/>
        <v>2975782.2253031209</v>
      </c>
      <c r="M74" s="165">
        <f t="shared" si="4"/>
        <v>2975782.2253031209</v>
      </c>
      <c r="N74" s="165">
        <f t="shared" si="4"/>
        <v>2975782.2253031209</v>
      </c>
      <c r="U74" s="155"/>
    </row>
    <row r="75" spans="1:21" x14ac:dyDescent="0.2">
      <c r="C75" s="2" t="s">
        <v>61</v>
      </c>
      <c r="D75" s="2" t="s">
        <v>60</v>
      </c>
      <c r="E75" s="12"/>
      <c r="F75" s="12"/>
      <c r="G75" s="147">
        <f>$G$66*0.1</f>
        <v>488538.04931434907</v>
      </c>
      <c r="H75" s="147">
        <f>$G$66*0.2</f>
        <v>977076.09862869815</v>
      </c>
      <c r="I75" s="147">
        <f>$G$66*0.7</f>
        <v>3419766.3452004432</v>
      </c>
      <c r="J75" s="147">
        <f>I75</f>
        <v>3419766.3452004432</v>
      </c>
      <c r="K75" s="147">
        <f>I75</f>
        <v>3419766.3452004432</v>
      </c>
      <c r="L75" s="147">
        <f>K75</f>
        <v>3419766.3452004432</v>
      </c>
      <c r="M75" s="147">
        <f>L75</f>
        <v>3419766.3452004432</v>
      </c>
      <c r="N75" s="147">
        <f>M75</f>
        <v>3419766.3452004432</v>
      </c>
    </row>
    <row r="76" spans="1:21" x14ac:dyDescent="0.2">
      <c r="E76" s="12"/>
      <c r="F76" s="12"/>
      <c r="G76" s="12"/>
      <c r="H76" s="12"/>
      <c r="I76" s="12"/>
      <c r="J76" s="12"/>
      <c r="K76" s="12"/>
      <c r="L76" s="12"/>
      <c r="M76" s="12"/>
      <c r="N76" s="12"/>
    </row>
    <row r="77" spans="1:21" x14ac:dyDescent="0.2">
      <c r="C77" s="2" t="s">
        <v>59</v>
      </c>
      <c r="E77" s="12">
        <f>COUNT(E73:$N73)</f>
        <v>10</v>
      </c>
      <c r="F77" s="12">
        <f>COUNT(F73:$N73)</f>
        <v>9</v>
      </c>
      <c r="G77" s="12">
        <f>COUNT(G73:$N73)</f>
        <v>8</v>
      </c>
      <c r="H77" s="12">
        <f>COUNT(H73:$N73)</f>
        <v>7</v>
      </c>
      <c r="I77" s="12">
        <f>COUNT(I73:$N73)</f>
        <v>6</v>
      </c>
      <c r="J77" s="12">
        <f>COUNT(J73:$N73)</f>
        <v>5</v>
      </c>
      <c r="K77" s="12">
        <f>COUNT(K73:$N73)</f>
        <v>4</v>
      </c>
      <c r="L77" s="12">
        <f>COUNT(L73:$N73)</f>
        <v>3</v>
      </c>
      <c r="M77" s="12">
        <f>COUNT(M73:$N73)</f>
        <v>2</v>
      </c>
      <c r="N77" s="12">
        <f>COUNT(N73:$N73)</f>
        <v>1</v>
      </c>
    </row>
    <row r="78" spans="1:21" x14ac:dyDescent="0.2">
      <c r="C78" s="2" t="s">
        <v>58</v>
      </c>
      <c r="E78" s="144">
        <f>(1+Assumptions!$B$6)^(E77-1)</f>
        <v>1.2765460171160807</v>
      </c>
      <c r="F78" s="144">
        <f>(1+Assumptions!$B$6)^(F77-1)</f>
        <v>1.2423805519377913</v>
      </c>
      <c r="G78" s="144">
        <f>(1+Assumptions!$B$6)^(G77-1)</f>
        <v>1.2091294909370232</v>
      </c>
      <c r="H78" s="144">
        <f>(1+Assumptions!$B$6)^(H77-1)</f>
        <v>1.1767683610092683</v>
      </c>
      <c r="I78" s="144">
        <f>(1+Assumptions!$B$6)^(I77-1)</f>
        <v>1.1452733440479497</v>
      </c>
      <c r="J78" s="144">
        <f>(1+Assumptions!$B$6)^(J77-1)</f>
        <v>1.1146212594140628</v>
      </c>
      <c r="K78" s="144">
        <f>(1+Assumptions!$B$6)^(K77-1)</f>
        <v>1.0847895468750002</v>
      </c>
      <c r="L78" s="144">
        <f>(1+Assumptions!$B$6)^(L77-1)</f>
        <v>1.0557562500000002</v>
      </c>
      <c r="M78" s="144">
        <f>(1+Assumptions!$B$6)^(M77-1)</f>
        <v>1.0275000000000001</v>
      </c>
      <c r="N78" s="144">
        <f>(1+Assumptions!$B$6)^(N77-1)</f>
        <v>1</v>
      </c>
    </row>
    <row r="79" spans="1:21" x14ac:dyDescent="0.2">
      <c r="C79" s="2" t="s">
        <v>57</v>
      </c>
      <c r="E79" s="143">
        <f>SUMPRODUCT(E73:N73,E78:N78)</f>
        <v>15418406.471787903</v>
      </c>
    </row>
    <row r="80" spans="1:21" x14ac:dyDescent="0.2">
      <c r="C80" s="2"/>
    </row>
    <row r="81" spans="2:22" x14ac:dyDescent="0.2">
      <c r="C81" s="2" t="s">
        <v>56</v>
      </c>
      <c r="E81" s="143">
        <f>-PMT(Assumptions!$B$6,$D$70,-E79,0,0)</f>
        <v>-2822660.4142485936</v>
      </c>
      <c r="F81" s="143">
        <f t="shared" ref="F81:I82" si="5">E81</f>
        <v>-2822660.4142485936</v>
      </c>
      <c r="G81" s="143">
        <f t="shared" si="5"/>
        <v>-2822660.4142485936</v>
      </c>
      <c r="H81" s="143">
        <f t="shared" si="5"/>
        <v>-2822660.4142485936</v>
      </c>
      <c r="I81" s="143">
        <f t="shared" si="5"/>
        <v>-2822660.4142485936</v>
      </c>
      <c r="J81" s="143">
        <f t="shared" ref="J81:J82" si="6">I81</f>
        <v>-2822660.4142485936</v>
      </c>
      <c r="K81" s="143">
        <f t="shared" ref="K81:K82" si="7">J81</f>
        <v>-2822660.4142485936</v>
      </c>
      <c r="L81" s="143">
        <f t="shared" ref="L81:L82" si="8">K81</f>
        <v>-2822660.4142485936</v>
      </c>
      <c r="M81" s="143">
        <f t="shared" ref="M81:M82" si="9">L81</f>
        <v>-2822660.4142485936</v>
      </c>
      <c r="N81" s="143">
        <f t="shared" ref="N81:N82" si="10">M81</f>
        <v>-2822660.4142485936</v>
      </c>
    </row>
    <row r="82" spans="2:22" x14ac:dyDescent="0.2">
      <c r="C82" s="2" t="s">
        <v>55</v>
      </c>
      <c r="E82" s="146">
        <f>SUM(I74:I75)</f>
        <v>6395548.5705035646</v>
      </c>
      <c r="F82" s="146">
        <f t="shared" si="5"/>
        <v>6395548.5705035646</v>
      </c>
      <c r="G82" s="146">
        <f t="shared" si="5"/>
        <v>6395548.5705035646</v>
      </c>
      <c r="H82" s="146">
        <f t="shared" si="5"/>
        <v>6395548.5705035646</v>
      </c>
      <c r="I82" s="146">
        <f t="shared" si="5"/>
        <v>6395548.5705035646</v>
      </c>
      <c r="J82" s="146">
        <f t="shared" si="6"/>
        <v>6395548.5705035646</v>
      </c>
      <c r="K82" s="146">
        <f t="shared" si="7"/>
        <v>6395548.5705035646</v>
      </c>
      <c r="L82" s="146">
        <f t="shared" si="8"/>
        <v>6395548.5705035646</v>
      </c>
      <c r="M82" s="146">
        <f t="shared" si="9"/>
        <v>6395548.5705035646</v>
      </c>
      <c r="N82" s="146">
        <f t="shared" si="10"/>
        <v>6395548.5705035646</v>
      </c>
    </row>
    <row r="83" spans="2:22" x14ac:dyDescent="0.2">
      <c r="C83" s="42" t="s">
        <v>54</v>
      </c>
      <c r="E83" s="143">
        <f>SUM(E81:E82)</f>
        <v>3572888.1562549709</v>
      </c>
      <c r="F83" s="143">
        <f>SUM(F81:F82)</f>
        <v>3572888.1562549709</v>
      </c>
      <c r="G83" s="143">
        <f>SUM(G81:G82)</f>
        <v>3572888.1562549709</v>
      </c>
      <c r="H83" s="143">
        <f>SUM(H81:H82)</f>
        <v>3572888.1562549709</v>
      </c>
      <c r="I83" s="143">
        <f>SUM(I81:I82)</f>
        <v>3572888.1562549709</v>
      </c>
      <c r="J83" s="143">
        <f t="shared" ref="J83:N83" si="11">SUM(J81:J82)</f>
        <v>3572888.1562549709</v>
      </c>
      <c r="K83" s="143">
        <f t="shared" si="11"/>
        <v>3572888.1562549709</v>
      </c>
      <c r="L83" s="143">
        <f t="shared" si="11"/>
        <v>3572888.1562549709</v>
      </c>
      <c r="M83" s="143">
        <f t="shared" si="11"/>
        <v>3572888.1562549709</v>
      </c>
      <c r="N83" s="143">
        <f t="shared" si="11"/>
        <v>3572888.1562549709</v>
      </c>
    </row>
    <row r="86" spans="2:22" x14ac:dyDescent="0.2">
      <c r="C86" s="128" t="s">
        <v>53</v>
      </c>
    </row>
    <row r="87" spans="2:22" x14ac:dyDescent="0.2">
      <c r="C87" s="100" t="s">
        <v>52</v>
      </c>
      <c r="E87" s="143">
        <f>-E73</f>
        <v>0</v>
      </c>
      <c r="F87" s="143">
        <f>-F73</f>
        <v>-1720070.1835095261</v>
      </c>
      <c r="G87" s="143">
        <f>-G73</f>
        <v>-6207236.268745088</v>
      </c>
      <c r="H87" s="143">
        <f>-H73</f>
        <v>-926609.85751164856</v>
      </c>
      <c r="I87" s="143">
        <f>-I73</f>
        <v>0</v>
      </c>
      <c r="J87" s="143">
        <f t="shared" ref="J87:N87" si="12">-J73</f>
        <v>0</v>
      </c>
      <c r="K87" s="143">
        <f t="shared" si="12"/>
        <v>-860035.09175476304</v>
      </c>
      <c r="L87" s="143">
        <f t="shared" si="12"/>
        <v>-3103618.134372544</v>
      </c>
      <c r="M87" s="143">
        <f t="shared" si="12"/>
        <v>-463304.92875582428</v>
      </c>
      <c r="N87" s="143">
        <f t="shared" si="12"/>
        <v>0</v>
      </c>
    </row>
    <row r="88" spans="2:22" x14ac:dyDescent="0.2">
      <c r="C88" s="100" t="s">
        <v>51</v>
      </c>
      <c r="E88" s="146">
        <f t="shared" ref="E88:N88" si="13">SUM(E74:E75)</f>
        <v>0</v>
      </c>
      <c r="F88" s="146">
        <f t="shared" si="13"/>
        <v>0</v>
      </c>
      <c r="G88" s="146">
        <f t="shared" si="13"/>
        <v>668632.07397807238</v>
      </c>
      <c r="H88" s="146">
        <f t="shared" si="13"/>
        <v>1157170.1232924215</v>
      </c>
      <c r="I88" s="146">
        <f t="shared" si="13"/>
        <v>6395548.5705035646</v>
      </c>
      <c r="J88" s="146">
        <f t="shared" si="13"/>
        <v>6395548.5705035646</v>
      </c>
      <c r="K88" s="146">
        <f t="shared" si="13"/>
        <v>6395548.5705035646</v>
      </c>
      <c r="L88" s="146">
        <f t="shared" si="13"/>
        <v>6395548.5705035646</v>
      </c>
      <c r="M88" s="146">
        <f t="shared" si="13"/>
        <v>6395548.5705035646</v>
      </c>
      <c r="N88" s="146">
        <f t="shared" si="13"/>
        <v>6395548.5705035646</v>
      </c>
    </row>
    <row r="89" spans="2:22" x14ac:dyDescent="0.2">
      <c r="C89" s="128" t="s">
        <v>97</v>
      </c>
      <c r="E89" s="143">
        <f>SUM(E87:E88)</f>
        <v>0</v>
      </c>
      <c r="F89" s="143">
        <f>SUM(F87:F88)</f>
        <v>-1720070.1835095261</v>
      </c>
      <c r="G89" s="143">
        <f>SUM(G87:G88)</f>
        <v>-5538604.194767016</v>
      </c>
      <c r="H89" s="143">
        <f>SUM(H87:H88)</f>
        <v>230560.2657807729</v>
      </c>
      <c r="I89" s="143">
        <f>SUM(I87:I88)</f>
        <v>6395548.5705035646</v>
      </c>
      <c r="J89" s="143">
        <f t="shared" ref="J89:N89" si="14">SUM(J87:J88)</f>
        <v>6395548.5705035646</v>
      </c>
      <c r="K89" s="143">
        <f t="shared" si="14"/>
        <v>5535513.4787488012</v>
      </c>
      <c r="L89" s="143">
        <f t="shared" si="14"/>
        <v>3291930.4361310205</v>
      </c>
      <c r="M89" s="143">
        <f t="shared" si="14"/>
        <v>5932243.6417477401</v>
      </c>
      <c r="N89" s="143">
        <f t="shared" si="14"/>
        <v>6395548.5705035646</v>
      </c>
    </row>
    <row r="91" spans="2:22" x14ac:dyDescent="0.2">
      <c r="B91" s="42" t="s">
        <v>50</v>
      </c>
      <c r="E91" s="145">
        <f>NPV(Assumptions!$B$6,Benefits!E89:N89)</f>
        <v>21241917.113083467</v>
      </c>
    </row>
    <row r="93" spans="2:22" x14ac:dyDescent="0.2">
      <c r="C93" s="142" t="s">
        <v>28</v>
      </c>
      <c r="D93" s="122"/>
      <c r="E93" s="122" t="s">
        <v>15</v>
      </c>
      <c r="F93" s="122" t="s">
        <v>16</v>
      </c>
      <c r="G93" s="122" t="s">
        <v>17</v>
      </c>
      <c r="H93" s="122" t="s">
        <v>18</v>
      </c>
      <c r="I93" s="122" t="s">
        <v>19</v>
      </c>
      <c r="J93" s="122" t="s">
        <v>19</v>
      </c>
      <c r="K93" s="122" t="s">
        <v>19</v>
      </c>
      <c r="L93" s="122" t="s">
        <v>19</v>
      </c>
      <c r="M93" s="122" t="s">
        <v>19</v>
      </c>
      <c r="N93" s="122" t="s">
        <v>19</v>
      </c>
    </row>
    <row r="94" spans="2:22" x14ac:dyDescent="0.2">
      <c r="C94" s="2" t="s">
        <v>63</v>
      </c>
      <c r="D94" s="2" t="s">
        <v>60</v>
      </c>
      <c r="E94" s="143">
        <f>'Option 1'!P$43</f>
        <v>0</v>
      </c>
      <c r="F94" s="143">
        <f>'Option 1'!Q$43</f>
        <v>1720070.1835095261</v>
      </c>
      <c r="G94" s="165">
        <f>'Option 1'!R$43</f>
        <v>6207236.268745088</v>
      </c>
      <c r="H94" s="143">
        <f>'Option 1'!S$43</f>
        <v>0</v>
      </c>
      <c r="I94" s="143">
        <f>'Option 1'!T$43</f>
        <v>0</v>
      </c>
      <c r="J94" s="143">
        <f>E94*0.5</f>
        <v>0</v>
      </c>
      <c r="K94" s="143">
        <f t="shared" ref="K94:N94" si="15">F94*0.5</f>
        <v>860035.09175476304</v>
      </c>
      <c r="L94" s="143">
        <f t="shared" si="15"/>
        <v>3103618.134372544</v>
      </c>
      <c r="M94" s="143">
        <f t="shared" si="15"/>
        <v>0</v>
      </c>
      <c r="N94" s="143">
        <f t="shared" si="15"/>
        <v>0</v>
      </c>
      <c r="V94" s="155"/>
    </row>
    <row r="95" spans="2:22" x14ac:dyDescent="0.2">
      <c r="C95" s="2" t="s">
        <v>62</v>
      </c>
      <c r="D95" s="2" t="s">
        <v>60</v>
      </c>
      <c r="E95" s="12"/>
      <c r="F95" s="165"/>
      <c r="G95" s="143">
        <f t="shared" ref="G95:N95" si="16">$G$20*$G$34</f>
        <v>180094.02466372334</v>
      </c>
      <c r="H95" s="147">
        <f t="shared" si="16"/>
        <v>180094.02466372334</v>
      </c>
      <c r="I95" s="147">
        <f t="shared" si="16"/>
        <v>180094.02466372334</v>
      </c>
      <c r="J95" s="147">
        <f t="shared" si="16"/>
        <v>180094.02466372334</v>
      </c>
      <c r="K95" s="147">
        <f t="shared" si="16"/>
        <v>180094.02466372334</v>
      </c>
      <c r="L95" s="147">
        <f t="shared" si="16"/>
        <v>180094.02466372334</v>
      </c>
      <c r="M95" s="147">
        <f t="shared" si="16"/>
        <v>180094.02466372334</v>
      </c>
      <c r="N95" s="147">
        <f t="shared" si="16"/>
        <v>180094.02466372334</v>
      </c>
      <c r="U95" s="155"/>
    </row>
    <row r="96" spans="2:22" x14ac:dyDescent="0.2">
      <c r="C96" s="2" t="s">
        <v>61</v>
      </c>
      <c r="D96" s="2" t="s">
        <v>60</v>
      </c>
      <c r="E96" s="12"/>
      <c r="F96" s="12"/>
      <c r="G96" s="147">
        <f>$G$66*0.1</f>
        <v>488538.04931434907</v>
      </c>
      <c r="H96" s="147">
        <f>$G$66*0.2</f>
        <v>977076.09862869815</v>
      </c>
      <c r="I96" s="147">
        <f>$G$66*0.7</f>
        <v>3419766.3452004432</v>
      </c>
      <c r="J96" s="147">
        <f>I96</f>
        <v>3419766.3452004432</v>
      </c>
      <c r="K96" s="147">
        <f>I96</f>
        <v>3419766.3452004432</v>
      </c>
      <c r="L96" s="147">
        <f t="shared" ref="L96:N96" si="17">K96</f>
        <v>3419766.3452004432</v>
      </c>
      <c r="M96" s="147">
        <f t="shared" si="17"/>
        <v>3419766.3452004432</v>
      </c>
      <c r="N96" s="147">
        <f t="shared" si="17"/>
        <v>3419766.3452004432</v>
      </c>
    </row>
    <row r="97" spans="2:14" x14ac:dyDescent="0.2">
      <c r="E97" s="12"/>
      <c r="F97" s="12"/>
      <c r="G97" s="12"/>
      <c r="H97" s="147"/>
      <c r="I97" s="12"/>
      <c r="J97" s="12"/>
      <c r="K97" s="12"/>
      <c r="L97" s="12"/>
      <c r="M97" s="12"/>
      <c r="N97" s="12"/>
    </row>
    <row r="98" spans="2:14" x14ac:dyDescent="0.2">
      <c r="C98" s="2" t="s">
        <v>59</v>
      </c>
      <c r="E98" s="12">
        <f>COUNT(E94:$N94)</f>
        <v>10</v>
      </c>
      <c r="F98" s="12">
        <f>COUNT(F94:$N94)</f>
        <v>9</v>
      </c>
      <c r="G98" s="12">
        <f>COUNT(G94:$N94)</f>
        <v>8</v>
      </c>
      <c r="H98" s="12">
        <f>COUNT(H94:$N94)</f>
        <v>7</v>
      </c>
      <c r="I98" s="12">
        <f>COUNT(I94:$N94)</f>
        <v>6</v>
      </c>
      <c r="J98" s="12">
        <f>COUNT(J94:$N94)</f>
        <v>5</v>
      </c>
      <c r="K98" s="12">
        <f>COUNT(K94:$N94)</f>
        <v>4</v>
      </c>
      <c r="L98" s="12">
        <f>COUNT(L94:$N94)</f>
        <v>3</v>
      </c>
      <c r="M98" s="12">
        <f>COUNT(M94:$N94)</f>
        <v>2</v>
      </c>
      <c r="N98" s="12">
        <f>COUNT(N94:$N94)</f>
        <v>1</v>
      </c>
    </row>
    <row r="99" spans="2:14" x14ac:dyDescent="0.2">
      <c r="C99" s="2" t="s">
        <v>58</v>
      </c>
      <c r="E99" s="144">
        <f>(1+Assumptions!$B$6)^(E98-1)</f>
        <v>1.2765460171160807</v>
      </c>
      <c r="F99" s="144">
        <f>(1+Assumptions!$B$6)^(F98-1)</f>
        <v>1.2423805519377913</v>
      </c>
      <c r="G99" s="144">
        <f>(1+Assumptions!$B$6)^(G98-1)</f>
        <v>1.2091294909370232</v>
      </c>
      <c r="H99" s="144">
        <f>(1+Assumptions!$B$6)^(H98-1)</f>
        <v>1.1767683610092683</v>
      </c>
      <c r="I99" s="144">
        <f>(1+Assumptions!$B$6)^(I98-1)</f>
        <v>1.1452733440479497</v>
      </c>
      <c r="J99" s="144">
        <f>(1+Assumptions!$B$6)^(J98-1)</f>
        <v>1.1146212594140628</v>
      </c>
      <c r="K99" s="144">
        <f>(1+Assumptions!$B$6)^(K98-1)</f>
        <v>1.0847895468750002</v>
      </c>
      <c r="L99" s="144">
        <f>(1+Assumptions!$B$6)^(L98-1)</f>
        <v>1.0557562500000002</v>
      </c>
      <c r="M99" s="144">
        <f>(1+Assumptions!$B$6)^(M98-1)</f>
        <v>1.0275000000000001</v>
      </c>
      <c r="N99" s="144">
        <f>(1+Assumptions!$B$6)^(N98-1)</f>
        <v>1</v>
      </c>
    </row>
    <row r="100" spans="2:14" x14ac:dyDescent="0.2">
      <c r="C100" s="2" t="s">
        <v>57</v>
      </c>
      <c r="E100" s="143">
        <f>SUMPRODUCT(E94:N94,E99:N99)</f>
        <v>13851955.494172281</v>
      </c>
    </row>
    <row r="101" spans="2:14" x14ac:dyDescent="0.2">
      <c r="C101" s="2"/>
    </row>
    <row r="102" spans="2:14" x14ac:dyDescent="0.2">
      <c r="C102" s="2" t="s">
        <v>56</v>
      </c>
      <c r="E102" s="143">
        <f>-PMT(Assumptions!$B$6,$D$70,-E100,0,0)</f>
        <v>-2535888.9392931848</v>
      </c>
      <c r="F102" s="143">
        <f t="shared" ref="F102:F103" si="18">E102</f>
        <v>-2535888.9392931848</v>
      </c>
      <c r="G102" s="143">
        <f t="shared" ref="G102:G103" si="19">F102</f>
        <v>-2535888.9392931848</v>
      </c>
      <c r="H102" s="143">
        <f t="shared" ref="H102:H103" si="20">G102</f>
        <v>-2535888.9392931848</v>
      </c>
      <c r="I102" s="143">
        <f t="shared" ref="I102:I103" si="21">H102</f>
        <v>-2535888.9392931848</v>
      </c>
      <c r="J102" s="143">
        <f t="shared" ref="J102:J103" si="22">I102</f>
        <v>-2535888.9392931848</v>
      </c>
      <c r="K102" s="143">
        <f t="shared" ref="K102:K103" si="23">J102</f>
        <v>-2535888.9392931848</v>
      </c>
      <c r="L102" s="143">
        <f t="shared" ref="L102:L103" si="24">K102</f>
        <v>-2535888.9392931848</v>
      </c>
      <c r="M102" s="143">
        <f t="shared" ref="M102:M103" si="25">L102</f>
        <v>-2535888.9392931848</v>
      </c>
      <c r="N102" s="143">
        <f t="shared" ref="N102:N103" si="26">M102</f>
        <v>-2535888.9392931848</v>
      </c>
    </row>
    <row r="103" spans="2:14" x14ac:dyDescent="0.2">
      <c r="C103" s="2" t="s">
        <v>55</v>
      </c>
      <c r="E103" s="146">
        <f>SUM(I95:I96)</f>
        <v>3599860.3698641667</v>
      </c>
      <c r="F103" s="146">
        <f t="shared" si="18"/>
        <v>3599860.3698641667</v>
      </c>
      <c r="G103" s="146">
        <f t="shared" si="19"/>
        <v>3599860.3698641667</v>
      </c>
      <c r="H103" s="146">
        <f t="shared" si="20"/>
        <v>3599860.3698641667</v>
      </c>
      <c r="I103" s="146">
        <f t="shared" si="21"/>
        <v>3599860.3698641667</v>
      </c>
      <c r="J103" s="146">
        <f t="shared" si="22"/>
        <v>3599860.3698641667</v>
      </c>
      <c r="K103" s="146">
        <f t="shared" si="23"/>
        <v>3599860.3698641667</v>
      </c>
      <c r="L103" s="146">
        <f t="shared" si="24"/>
        <v>3599860.3698641667</v>
      </c>
      <c r="M103" s="146">
        <f t="shared" si="25"/>
        <v>3599860.3698641667</v>
      </c>
      <c r="N103" s="146">
        <f t="shared" si="26"/>
        <v>3599860.3698641667</v>
      </c>
    </row>
    <row r="104" spans="2:14" x14ac:dyDescent="0.2">
      <c r="C104" s="42" t="s">
        <v>54</v>
      </c>
      <c r="E104" s="143">
        <f>SUM(E102:E103)</f>
        <v>1063971.4305709819</v>
      </c>
      <c r="F104" s="143">
        <f>SUM(F102:F103)</f>
        <v>1063971.4305709819</v>
      </c>
      <c r="G104" s="143">
        <f>SUM(G102:G103)</f>
        <v>1063971.4305709819</v>
      </c>
      <c r="H104" s="143">
        <f>SUM(H102:H103)</f>
        <v>1063971.4305709819</v>
      </c>
      <c r="I104" s="143">
        <f>SUM(I102:I103)</f>
        <v>1063971.4305709819</v>
      </c>
      <c r="J104" s="143">
        <f t="shared" ref="J104:N104" si="27">SUM(J102:J103)</f>
        <v>1063971.4305709819</v>
      </c>
      <c r="K104" s="143">
        <f t="shared" si="27"/>
        <v>1063971.4305709819</v>
      </c>
      <c r="L104" s="143">
        <f t="shared" si="27"/>
        <v>1063971.4305709819</v>
      </c>
      <c r="M104" s="143">
        <f t="shared" si="27"/>
        <v>1063971.4305709819</v>
      </c>
      <c r="N104" s="143">
        <f t="shared" si="27"/>
        <v>1063971.4305709819</v>
      </c>
    </row>
    <row r="107" spans="2:14" x14ac:dyDescent="0.2">
      <c r="C107" s="128" t="s">
        <v>53</v>
      </c>
    </row>
    <row r="108" spans="2:14" x14ac:dyDescent="0.2">
      <c r="C108" s="100" t="s">
        <v>52</v>
      </c>
      <c r="E108" s="143">
        <f>-E94</f>
        <v>0</v>
      </c>
      <c r="F108" s="143">
        <f>-F94</f>
        <v>-1720070.1835095261</v>
      </c>
      <c r="G108" s="143">
        <f>-G94</f>
        <v>-6207236.268745088</v>
      </c>
      <c r="H108" s="143">
        <f>-H94</f>
        <v>0</v>
      </c>
      <c r="I108" s="143">
        <f>-I94</f>
        <v>0</v>
      </c>
      <c r="J108" s="143">
        <f t="shared" ref="J108:N108" si="28">-J94</f>
        <v>0</v>
      </c>
      <c r="K108" s="143">
        <f t="shared" si="28"/>
        <v>-860035.09175476304</v>
      </c>
      <c r="L108" s="143">
        <f t="shared" si="28"/>
        <v>-3103618.134372544</v>
      </c>
      <c r="M108" s="143">
        <f t="shared" si="28"/>
        <v>0</v>
      </c>
      <c r="N108" s="143">
        <f t="shared" si="28"/>
        <v>0</v>
      </c>
    </row>
    <row r="109" spans="2:14" x14ac:dyDescent="0.2">
      <c r="C109" s="100" t="s">
        <v>51</v>
      </c>
      <c r="E109" s="146">
        <f t="shared" ref="E109:N109" si="29">SUM(E95:E96)</f>
        <v>0</v>
      </c>
      <c r="F109" s="146">
        <f t="shared" si="29"/>
        <v>0</v>
      </c>
      <c r="G109" s="146">
        <f t="shared" si="29"/>
        <v>668632.07397807238</v>
      </c>
      <c r="H109" s="146">
        <f t="shared" si="29"/>
        <v>1157170.1232924215</v>
      </c>
      <c r="I109" s="146">
        <f t="shared" si="29"/>
        <v>3599860.3698641667</v>
      </c>
      <c r="J109" s="146">
        <f t="shared" si="29"/>
        <v>3599860.3698641667</v>
      </c>
      <c r="K109" s="146">
        <f t="shared" si="29"/>
        <v>3599860.3698641667</v>
      </c>
      <c r="L109" s="146">
        <f t="shared" si="29"/>
        <v>3599860.3698641667</v>
      </c>
      <c r="M109" s="146">
        <f t="shared" si="29"/>
        <v>3599860.3698641667</v>
      </c>
      <c r="N109" s="146">
        <f t="shared" si="29"/>
        <v>3599860.3698641667</v>
      </c>
    </row>
    <row r="110" spans="2:14" x14ac:dyDescent="0.2">
      <c r="C110" s="128" t="s">
        <v>97</v>
      </c>
      <c r="E110" s="143">
        <f>SUM(E108:E109)</f>
        <v>0</v>
      </c>
      <c r="F110" s="143">
        <f>SUM(F108:F109)</f>
        <v>-1720070.1835095261</v>
      </c>
      <c r="G110" s="143">
        <f>SUM(G108:G109)</f>
        <v>-5538604.194767016</v>
      </c>
      <c r="H110" s="143">
        <f>SUM(H108:H109)</f>
        <v>1157170.1232924215</v>
      </c>
      <c r="I110" s="143">
        <f>SUM(I108:I109)</f>
        <v>3599860.3698641667</v>
      </c>
      <c r="J110" s="143">
        <f t="shared" ref="J110:N110" si="30">SUM(J108:J109)</f>
        <v>3599860.3698641667</v>
      </c>
      <c r="K110" s="143">
        <f t="shared" si="30"/>
        <v>2739825.2781094038</v>
      </c>
      <c r="L110" s="143">
        <f t="shared" si="30"/>
        <v>496242.23549162271</v>
      </c>
      <c r="M110" s="143">
        <f t="shared" si="30"/>
        <v>3599860.3698641667</v>
      </c>
      <c r="N110" s="143">
        <f t="shared" si="30"/>
        <v>3599860.3698641667</v>
      </c>
    </row>
    <row r="112" spans="2:14" x14ac:dyDescent="0.2">
      <c r="B112" s="42" t="s">
        <v>155</v>
      </c>
      <c r="E112" s="145">
        <f>NPV(Assumptions!$B$6,Benefits!E110:N110)</f>
        <v>8735491.4354635868</v>
      </c>
    </row>
    <row r="115" spans="3:3" x14ac:dyDescent="0.2">
      <c r="C115" s="100" t="s">
        <v>146</v>
      </c>
    </row>
  </sheetData>
  <hyperlinks>
    <hyperlink ref="I12" r:id="rId1"/>
    <hyperlink ref="I16" r:id="rId2"/>
    <hyperlink ref="I18" r:id="rId3"/>
    <hyperlink ref="I17" r:id="rId4"/>
  </hyperlinks>
  <pageMargins left="0.7" right="0.7" top="0.75" bottom="0.75" header="0.3" footer="0.3"/>
  <pageSetup paperSize="9" orientation="portrait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7</vt:i4>
      </vt:variant>
    </vt:vector>
  </HeadingPairs>
  <TitlesOfParts>
    <vt:vector size="13" baseType="lpstr">
      <vt:lpstr>Output</vt:lpstr>
      <vt:lpstr>Summary</vt:lpstr>
      <vt:lpstr>Assumptions</vt:lpstr>
      <vt:lpstr>Option 1</vt:lpstr>
      <vt:lpstr>Option 2</vt:lpstr>
      <vt:lpstr>Benefits</vt:lpstr>
      <vt:lpstr>Conv_2021</vt:lpstr>
      <vt:lpstr>Option1_categories</vt:lpstr>
      <vt:lpstr>Option1_costs</vt:lpstr>
      <vt:lpstr>Option2_categories</vt:lpstr>
      <vt:lpstr>Option2_costs</vt:lpstr>
      <vt:lpstr>Summary!Print_Area</vt:lpstr>
      <vt:lpstr>years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2019-11-18T04:45:29Z</dcterms:created>
  <dcterms:modified xsi:type="dcterms:W3CDTF">2020-01-22T05:30:59Z</dcterms:modified>
</cp:coreProperties>
</file>