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_UE" sheetId="75" r:id="rId1"/>
    <sheet name="Output_VPN" sheetId="72" r:id="rId2"/>
    <sheet name="Summary" sheetId="70" r:id="rId3"/>
    <sheet name="Assumptions" sheetId="74" r:id="rId4"/>
    <sheet name="Option 1" sheetId="69" r:id="rId5"/>
    <sheet name="Option 2" sheetId="71" r:id="rId6"/>
    <sheet name="Option 3" sheetId="73" r:id="rId7"/>
  </sheets>
  <definedNames>
    <definedName name="Conv_2021">Assumptions!$B$18</definedName>
    <definedName name="Option1_categories">'Option 1'!$C$43:$C$48</definedName>
    <definedName name="Option1_costs">'Option 1'!$Q$43:$U$48</definedName>
    <definedName name="Option2_categories">'Option 2'!$C$59:$C$64</definedName>
    <definedName name="Option2_costs">'Option 2'!$Q$59:$U$64</definedName>
    <definedName name="Option3_categories">'Option 3'!$C$81:$C$86</definedName>
    <definedName name="Option3_costs">'Option 3'!$Q$81:$U$86</definedName>
    <definedName name="_xlnm.Print_Area" localSheetId="2">Summary!$A$1:$J$35</definedName>
    <definedName name="years">'Option 1'!$Q$8:$U$8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74" l="1"/>
  <c r="F14" i="74"/>
  <c r="G14" i="74"/>
  <c r="H14" i="74"/>
  <c r="I14" i="74"/>
  <c r="J14" i="74"/>
  <c r="C66" i="69"/>
  <c r="C104" i="73"/>
  <c r="F99" i="73"/>
  <c r="F98" i="73"/>
  <c r="F97" i="73"/>
  <c r="F96" i="73"/>
  <c r="F95" i="73"/>
  <c r="F94" i="73"/>
  <c r="F92" i="71"/>
  <c r="F91" i="71"/>
  <c r="F90" i="71"/>
  <c r="F89" i="71"/>
  <c r="F88" i="71"/>
  <c r="F87" i="71"/>
  <c r="F61" i="69"/>
  <c r="F60" i="69"/>
  <c r="F59" i="69"/>
  <c r="F58" i="69"/>
  <c r="F57" i="69"/>
  <c r="F56" i="69"/>
  <c r="B29" i="74"/>
  <c r="B32" i="74"/>
  <c r="B31" i="74"/>
  <c r="B33" i="74"/>
  <c r="B107" i="70"/>
  <c r="B108" i="70"/>
  <c r="B106" i="70"/>
  <c r="B105" i="70"/>
  <c r="B104" i="70"/>
  <c r="B103" i="70"/>
  <c r="J102" i="70"/>
  <c r="I102" i="70"/>
  <c r="H102" i="70"/>
  <c r="G102" i="70"/>
  <c r="F102" i="70"/>
  <c r="B92" i="70"/>
  <c r="B82" i="70"/>
  <c r="J92" i="70"/>
  <c r="I92" i="70"/>
  <c r="H92" i="70"/>
  <c r="G92" i="70"/>
  <c r="F92" i="70"/>
  <c r="J82" i="70"/>
  <c r="I82" i="70"/>
  <c r="H82" i="70"/>
  <c r="G82" i="70"/>
  <c r="F82" i="70"/>
  <c r="B72" i="70"/>
  <c r="J72" i="70"/>
  <c r="I72" i="70"/>
  <c r="H72" i="70"/>
  <c r="G72" i="70"/>
  <c r="F72" i="70"/>
  <c r="Z10" i="75"/>
  <c r="Y10" i="75"/>
  <c r="X10" i="75"/>
  <c r="W10" i="75"/>
  <c r="V10" i="75"/>
  <c r="S10" i="75"/>
  <c r="T10" i="75"/>
  <c r="P10" i="75"/>
  <c r="Q10" i="75"/>
  <c r="M10" i="75"/>
  <c r="N10" i="75"/>
  <c r="J10" i="75"/>
  <c r="K10" i="75"/>
  <c r="G10" i="75"/>
  <c r="H10" i="75"/>
  <c r="D5" i="75"/>
  <c r="A1" i="75"/>
  <c r="D78" i="70"/>
  <c r="D74" i="70"/>
  <c r="D77" i="70"/>
  <c r="D73" i="70"/>
  <c r="D76" i="70"/>
  <c r="D75" i="70"/>
  <c r="D86" i="70"/>
  <c r="D85" i="70"/>
  <c r="D88" i="70"/>
  <c r="D84" i="70"/>
  <c r="D87" i="70"/>
  <c r="D83" i="70"/>
  <c r="D98" i="70"/>
  <c r="D94" i="70"/>
  <c r="D97" i="70"/>
  <c r="D93" i="70"/>
  <c r="D96" i="70"/>
  <c r="D95" i="70"/>
  <c r="Q11" i="71"/>
  <c r="S11" i="71"/>
  <c r="T11" i="71"/>
  <c r="U11" i="71"/>
  <c r="Q12" i="71"/>
  <c r="S12" i="71"/>
  <c r="T12" i="71"/>
  <c r="U12" i="71"/>
  <c r="Q13" i="71"/>
  <c r="S13" i="71"/>
  <c r="T13" i="71"/>
  <c r="U13" i="71"/>
  <c r="Q14" i="71"/>
  <c r="S14" i="71"/>
  <c r="T14" i="71"/>
  <c r="U14" i="71"/>
  <c r="Q15" i="71"/>
  <c r="S15" i="71"/>
  <c r="T15" i="71"/>
  <c r="U15" i="71"/>
  <c r="Q16" i="71"/>
  <c r="S16" i="71"/>
  <c r="T16" i="71"/>
  <c r="U16" i="71"/>
  <c r="Q17" i="71"/>
  <c r="S17" i="71"/>
  <c r="T17" i="71"/>
  <c r="U17" i="71"/>
  <c r="Q18" i="71"/>
  <c r="S18" i="71"/>
  <c r="T18" i="71"/>
  <c r="U18" i="71"/>
  <c r="Q19" i="71"/>
  <c r="S19" i="71"/>
  <c r="T19" i="71"/>
  <c r="U19" i="71"/>
  <c r="Q20" i="71"/>
  <c r="S20" i="71"/>
  <c r="T20" i="71"/>
  <c r="U20" i="71"/>
  <c r="Q21" i="71"/>
  <c r="S21" i="71"/>
  <c r="T21" i="71"/>
  <c r="U21" i="71"/>
  <c r="Q22" i="71"/>
  <c r="S22" i="71"/>
  <c r="T22" i="71"/>
  <c r="U22" i="71"/>
  <c r="Q23" i="71"/>
  <c r="S23" i="71"/>
  <c r="T23" i="71"/>
  <c r="U23" i="71"/>
  <c r="Q24" i="71"/>
  <c r="S24" i="71"/>
  <c r="T24" i="71"/>
  <c r="U24" i="71"/>
  <c r="Q25" i="71"/>
  <c r="S25" i="71"/>
  <c r="T25" i="71"/>
  <c r="U25" i="71"/>
  <c r="Q26" i="71"/>
  <c r="R26" i="71"/>
  <c r="T26" i="71"/>
  <c r="U26" i="71"/>
  <c r="Q27" i="71"/>
  <c r="R27" i="71"/>
  <c r="T27" i="71"/>
  <c r="U27" i="71"/>
  <c r="Q28" i="71"/>
  <c r="R28" i="71"/>
  <c r="T28" i="71"/>
  <c r="U28" i="71"/>
  <c r="Q29" i="71"/>
  <c r="R29" i="71"/>
  <c r="T29" i="71"/>
  <c r="U29" i="71"/>
  <c r="Q30" i="71"/>
  <c r="R30" i="71"/>
  <c r="T30" i="71"/>
  <c r="U30" i="71"/>
  <c r="Q31" i="71"/>
  <c r="R31" i="71"/>
  <c r="T31" i="71"/>
  <c r="U31" i="71"/>
  <c r="Q32" i="71"/>
  <c r="R32" i="71"/>
  <c r="T32" i="71"/>
  <c r="U32" i="71"/>
  <c r="Q33" i="71"/>
  <c r="R33" i="71"/>
  <c r="T33" i="71"/>
  <c r="U33" i="71"/>
  <c r="Q34" i="71"/>
  <c r="R34" i="71"/>
  <c r="S34" i="71"/>
  <c r="T34" i="71"/>
  <c r="U34" i="71"/>
  <c r="R11" i="71"/>
  <c r="R12" i="71"/>
  <c r="R13" i="71"/>
  <c r="R14" i="71"/>
  <c r="R15" i="71"/>
  <c r="R16" i="71"/>
  <c r="R17" i="71"/>
  <c r="R18" i="71"/>
  <c r="R19" i="71"/>
  <c r="R20" i="71"/>
  <c r="R21" i="71"/>
  <c r="R22" i="71"/>
  <c r="R23" i="71"/>
  <c r="R24" i="71"/>
  <c r="R25" i="71"/>
  <c r="S26" i="71"/>
  <c r="S27" i="71"/>
  <c r="S28" i="71"/>
  <c r="S29" i="71"/>
  <c r="S30" i="71"/>
  <c r="S31" i="71"/>
  <c r="S32" i="71"/>
  <c r="S33" i="71"/>
  <c r="U62" i="73"/>
  <c r="T62" i="73"/>
  <c r="S62" i="73"/>
  <c r="R62" i="73"/>
  <c r="Q62" i="73"/>
  <c r="U61" i="73"/>
  <c r="T61" i="73"/>
  <c r="S61" i="73"/>
  <c r="R61" i="73"/>
  <c r="Q61" i="73"/>
  <c r="Q12" i="73"/>
  <c r="R12" i="73"/>
  <c r="S12" i="73"/>
  <c r="T12" i="73"/>
  <c r="U12" i="73"/>
  <c r="Q13" i="73"/>
  <c r="R13" i="73"/>
  <c r="S13" i="73"/>
  <c r="T13" i="73"/>
  <c r="U13" i="73"/>
  <c r="Q14" i="73"/>
  <c r="R14" i="73"/>
  <c r="S14" i="73"/>
  <c r="T14" i="73"/>
  <c r="U14" i="73"/>
  <c r="Q15" i="73"/>
  <c r="R15" i="73"/>
  <c r="S15" i="73"/>
  <c r="T15" i="73"/>
  <c r="U15" i="73"/>
  <c r="Q16" i="73"/>
  <c r="R16" i="73"/>
  <c r="S16" i="73"/>
  <c r="T16" i="73"/>
  <c r="U16" i="73"/>
  <c r="Q17" i="73"/>
  <c r="R17" i="73"/>
  <c r="S17" i="73"/>
  <c r="T17" i="73"/>
  <c r="U17" i="73"/>
  <c r="Q18" i="73"/>
  <c r="R18" i="73"/>
  <c r="S18" i="73"/>
  <c r="T18" i="73"/>
  <c r="U18" i="73"/>
  <c r="Q19" i="73"/>
  <c r="R19" i="73"/>
  <c r="S19" i="73"/>
  <c r="T19" i="73"/>
  <c r="U19" i="73"/>
  <c r="Q20" i="73"/>
  <c r="R20" i="73"/>
  <c r="S20" i="73"/>
  <c r="T20" i="73"/>
  <c r="U20" i="73"/>
  <c r="Q21" i="73"/>
  <c r="R21" i="73"/>
  <c r="S21" i="73"/>
  <c r="T21" i="73"/>
  <c r="U21" i="73"/>
  <c r="Q22" i="73"/>
  <c r="R22" i="73"/>
  <c r="S22" i="73"/>
  <c r="T22" i="73"/>
  <c r="U22" i="73"/>
  <c r="Q23" i="73"/>
  <c r="R23" i="73"/>
  <c r="S23" i="73"/>
  <c r="T23" i="73"/>
  <c r="U23" i="73"/>
  <c r="Q24" i="73"/>
  <c r="R24" i="73"/>
  <c r="S24" i="73"/>
  <c r="T24" i="73"/>
  <c r="U24" i="73"/>
  <c r="Q25" i="73"/>
  <c r="R25" i="73"/>
  <c r="S25" i="73"/>
  <c r="T25" i="73"/>
  <c r="U25" i="73"/>
  <c r="Q26" i="73"/>
  <c r="R26" i="73"/>
  <c r="S26" i="73"/>
  <c r="T26" i="73"/>
  <c r="U26" i="73"/>
  <c r="Q27" i="73"/>
  <c r="R27" i="73"/>
  <c r="S27" i="73"/>
  <c r="T27" i="73"/>
  <c r="U27" i="73"/>
  <c r="Q28" i="73"/>
  <c r="R28" i="73"/>
  <c r="S28" i="73"/>
  <c r="T28" i="73"/>
  <c r="U28" i="73"/>
  <c r="Q29" i="73"/>
  <c r="R29" i="73"/>
  <c r="S29" i="73"/>
  <c r="T29" i="73"/>
  <c r="U29" i="73"/>
  <c r="Q30" i="73"/>
  <c r="R30" i="73"/>
  <c r="S30" i="73"/>
  <c r="T30" i="73"/>
  <c r="U30" i="73"/>
  <c r="Q31" i="73"/>
  <c r="R31" i="73"/>
  <c r="S31" i="73"/>
  <c r="T31" i="73"/>
  <c r="U31" i="73"/>
  <c r="Q32" i="73"/>
  <c r="R32" i="73"/>
  <c r="S32" i="73"/>
  <c r="T32" i="73"/>
  <c r="U32" i="73"/>
  <c r="Q33" i="73"/>
  <c r="R33" i="73"/>
  <c r="S33" i="73"/>
  <c r="T33" i="73"/>
  <c r="U33" i="73"/>
  <c r="Q34" i="73"/>
  <c r="R34" i="73"/>
  <c r="S34" i="73"/>
  <c r="T34" i="73"/>
  <c r="U34" i="73"/>
  <c r="Q35" i="73"/>
  <c r="R35" i="73"/>
  <c r="S35" i="73"/>
  <c r="T35" i="73"/>
  <c r="U35" i="73"/>
  <c r="Q36" i="73"/>
  <c r="R36" i="73"/>
  <c r="S36" i="73"/>
  <c r="T36" i="73"/>
  <c r="U36" i="73"/>
  <c r="Q37" i="73"/>
  <c r="R37" i="73"/>
  <c r="S37" i="73"/>
  <c r="T37" i="73"/>
  <c r="U37" i="73"/>
  <c r="Q38" i="73"/>
  <c r="R38" i="73"/>
  <c r="S38" i="73"/>
  <c r="T38" i="73"/>
  <c r="U38" i="73"/>
  <c r="Q39" i="73"/>
  <c r="R39" i="73"/>
  <c r="S39" i="73"/>
  <c r="T39" i="73"/>
  <c r="U39" i="73"/>
  <c r="Q40" i="73"/>
  <c r="R40" i="73"/>
  <c r="S40" i="73"/>
  <c r="T40" i="73"/>
  <c r="U40" i="73"/>
  <c r="Q41" i="73"/>
  <c r="R41" i="73"/>
  <c r="S41" i="73"/>
  <c r="T41" i="73"/>
  <c r="U41" i="73"/>
  <c r="Q42" i="73"/>
  <c r="R42" i="73"/>
  <c r="S42" i="73"/>
  <c r="T42" i="73"/>
  <c r="U42" i="73"/>
  <c r="Q43" i="73"/>
  <c r="R43" i="73"/>
  <c r="S43" i="73"/>
  <c r="T43" i="73"/>
  <c r="U43" i="73"/>
  <c r="Q44" i="73"/>
  <c r="R44" i="73"/>
  <c r="S44" i="73"/>
  <c r="T44" i="73"/>
  <c r="U44" i="73"/>
  <c r="Q45" i="73"/>
  <c r="R45" i="73"/>
  <c r="S45" i="73"/>
  <c r="T45" i="73"/>
  <c r="U45" i="73"/>
  <c r="Q46" i="73"/>
  <c r="R46" i="73"/>
  <c r="S46" i="73"/>
  <c r="T46" i="73"/>
  <c r="U46" i="73"/>
  <c r="Q47" i="73"/>
  <c r="R47" i="73"/>
  <c r="S47" i="73"/>
  <c r="T47" i="73"/>
  <c r="U47" i="73"/>
  <c r="Q48" i="73"/>
  <c r="R48" i="73"/>
  <c r="S48" i="73"/>
  <c r="T48" i="73"/>
  <c r="U48" i="73"/>
  <c r="Q49" i="73"/>
  <c r="R49" i="73"/>
  <c r="S49" i="73"/>
  <c r="T49" i="73"/>
  <c r="U49" i="73"/>
  <c r="Q50" i="73"/>
  <c r="R50" i="73"/>
  <c r="S50" i="73"/>
  <c r="T50" i="73"/>
  <c r="U50" i="73"/>
  <c r="Q51" i="73"/>
  <c r="R51" i="73"/>
  <c r="S51" i="73"/>
  <c r="T51" i="73"/>
  <c r="U51" i="73"/>
  <c r="Q52" i="73"/>
  <c r="R52" i="73"/>
  <c r="S52" i="73"/>
  <c r="T52" i="73"/>
  <c r="U52" i="73"/>
  <c r="Q53" i="73"/>
  <c r="R53" i="73"/>
  <c r="S53" i="73"/>
  <c r="T53" i="73"/>
  <c r="U53" i="73"/>
  <c r="Q54" i="73"/>
  <c r="R54" i="73"/>
  <c r="S54" i="73"/>
  <c r="T54" i="73"/>
  <c r="U54" i="73"/>
  <c r="B64" i="70"/>
  <c r="B63" i="70"/>
  <c r="B62" i="70"/>
  <c r="J61" i="70"/>
  <c r="B67" i="70"/>
  <c r="B66" i="70"/>
  <c r="B65" i="70"/>
  <c r="I61" i="70"/>
  <c r="H61" i="70"/>
  <c r="G61" i="70"/>
  <c r="F61" i="70"/>
  <c r="B54" i="70"/>
  <c r="B47" i="70"/>
  <c r="D51" i="70"/>
  <c r="B40" i="70"/>
  <c r="J54" i="70"/>
  <c r="I54" i="70"/>
  <c r="H54" i="70"/>
  <c r="G54" i="70"/>
  <c r="F54" i="70"/>
  <c r="J47" i="70"/>
  <c r="I47" i="70"/>
  <c r="H47" i="70"/>
  <c r="G47" i="70"/>
  <c r="F47" i="70"/>
  <c r="J40" i="70"/>
  <c r="I40" i="70"/>
  <c r="H40" i="70"/>
  <c r="G40" i="70"/>
  <c r="F40" i="70"/>
  <c r="B16" i="74"/>
  <c r="U10" i="71"/>
  <c r="U62" i="71"/>
  <c r="U63" i="71"/>
  <c r="U64" i="71"/>
  <c r="Q10" i="71"/>
  <c r="Q62" i="71"/>
  <c r="Q63" i="71"/>
  <c r="Q64" i="71"/>
  <c r="R10" i="71"/>
  <c r="R62" i="71"/>
  <c r="R63" i="71"/>
  <c r="R64" i="71"/>
  <c r="S10" i="71"/>
  <c r="S62" i="71"/>
  <c r="S63" i="71"/>
  <c r="S64" i="71"/>
  <c r="T10" i="71"/>
  <c r="T62" i="71"/>
  <c r="T63" i="71"/>
  <c r="T64" i="71"/>
  <c r="U32" i="69"/>
  <c r="S10" i="73"/>
  <c r="S11" i="73"/>
  <c r="U14" i="69"/>
  <c r="U15" i="69"/>
  <c r="U16" i="69"/>
  <c r="U17" i="69"/>
  <c r="U10" i="69"/>
  <c r="U11" i="69"/>
  <c r="U12" i="69"/>
  <c r="U13" i="69"/>
  <c r="U21" i="69"/>
  <c r="U22" i="69"/>
  <c r="U23" i="69"/>
  <c r="U24" i="69"/>
  <c r="U29" i="69"/>
  <c r="U48" i="69"/>
  <c r="U30" i="69"/>
  <c r="U31" i="69"/>
  <c r="U33" i="69"/>
  <c r="U34" i="69"/>
  <c r="U45" i="69"/>
  <c r="U46" i="69"/>
  <c r="U47" i="69"/>
  <c r="U35" i="69"/>
  <c r="U36" i="69"/>
  <c r="U18" i="69"/>
  <c r="U25" i="69"/>
  <c r="U26" i="69"/>
  <c r="U37" i="69"/>
  <c r="U38" i="69"/>
  <c r="U39" i="69"/>
  <c r="T14" i="69"/>
  <c r="T15" i="69"/>
  <c r="T16" i="69"/>
  <c r="T17" i="69"/>
  <c r="T10" i="69"/>
  <c r="T11" i="69"/>
  <c r="T12" i="69"/>
  <c r="T13" i="69"/>
  <c r="T21" i="69"/>
  <c r="T22" i="69"/>
  <c r="T23" i="69"/>
  <c r="T24" i="69"/>
  <c r="T29" i="69"/>
  <c r="T30" i="69"/>
  <c r="T33" i="69"/>
  <c r="T34" i="69"/>
  <c r="T45" i="69"/>
  <c r="T46" i="69"/>
  <c r="T47" i="69"/>
  <c r="T18" i="69"/>
  <c r="T25" i="69"/>
  <c r="T26" i="69"/>
  <c r="T37" i="69"/>
  <c r="T38" i="69"/>
  <c r="T39" i="69"/>
  <c r="S14" i="69"/>
  <c r="S15" i="69"/>
  <c r="S16" i="69"/>
  <c r="S17" i="69"/>
  <c r="S10" i="69"/>
  <c r="S11" i="69"/>
  <c r="S12" i="69"/>
  <c r="S13" i="69"/>
  <c r="S21" i="69"/>
  <c r="S22" i="69"/>
  <c r="S23" i="69"/>
  <c r="S24" i="69"/>
  <c r="S29" i="69"/>
  <c r="S30" i="69"/>
  <c r="S33" i="69"/>
  <c r="S34" i="69"/>
  <c r="S45" i="69"/>
  <c r="S46" i="69"/>
  <c r="S47" i="69"/>
  <c r="S18" i="69"/>
  <c r="S25" i="69"/>
  <c r="S26" i="69"/>
  <c r="S37" i="69"/>
  <c r="S38" i="69"/>
  <c r="S39" i="69"/>
  <c r="R14" i="69"/>
  <c r="R15" i="69"/>
  <c r="R16" i="69"/>
  <c r="R17" i="69"/>
  <c r="R10" i="69"/>
  <c r="R11" i="69"/>
  <c r="R12" i="69"/>
  <c r="R13" i="69"/>
  <c r="R21" i="69"/>
  <c r="R22" i="69"/>
  <c r="R23" i="69"/>
  <c r="R24" i="69"/>
  <c r="R29" i="69"/>
  <c r="R30" i="69"/>
  <c r="R33" i="69"/>
  <c r="R34" i="69"/>
  <c r="R45" i="69"/>
  <c r="R46" i="69"/>
  <c r="R47" i="69"/>
  <c r="R18" i="69"/>
  <c r="R25" i="69"/>
  <c r="R26" i="69"/>
  <c r="R37" i="69"/>
  <c r="R38" i="69"/>
  <c r="R39" i="69"/>
  <c r="Q14" i="69"/>
  <c r="Q15" i="69"/>
  <c r="Q16" i="69"/>
  <c r="Q17" i="69"/>
  <c r="Q10" i="69"/>
  <c r="Q11" i="69"/>
  <c r="Q12" i="69"/>
  <c r="Q13" i="69"/>
  <c r="Q21" i="69"/>
  <c r="Q22" i="69"/>
  <c r="Q23" i="69"/>
  <c r="Q24" i="69"/>
  <c r="Q29" i="69"/>
  <c r="Q30" i="69"/>
  <c r="Q33" i="69"/>
  <c r="Q34" i="69"/>
  <c r="Q45" i="69"/>
  <c r="Q46" i="69"/>
  <c r="Q47" i="69"/>
  <c r="Q37" i="69"/>
  <c r="Q38" i="69"/>
  <c r="Q18" i="69"/>
  <c r="Q25" i="69"/>
  <c r="Q26" i="69"/>
  <c r="Q39" i="69"/>
  <c r="U37" i="71"/>
  <c r="U38" i="71"/>
  <c r="U39" i="71"/>
  <c r="U40" i="71"/>
  <c r="U45" i="71"/>
  <c r="U46" i="71"/>
  <c r="U47" i="71"/>
  <c r="U48" i="71"/>
  <c r="U49" i="71"/>
  <c r="U50" i="71"/>
  <c r="U51" i="71"/>
  <c r="U52" i="71"/>
  <c r="U53" i="71"/>
  <c r="U54" i="71"/>
  <c r="U41" i="71"/>
  <c r="U42" i="71"/>
  <c r="U55" i="71"/>
  <c r="T37" i="71"/>
  <c r="T38" i="71"/>
  <c r="T39" i="71"/>
  <c r="T40" i="71"/>
  <c r="T45" i="71"/>
  <c r="T46" i="71"/>
  <c r="T47" i="71"/>
  <c r="T48" i="71"/>
  <c r="T49" i="71"/>
  <c r="T50" i="71"/>
  <c r="T51" i="71"/>
  <c r="T52" i="71"/>
  <c r="T53" i="71"/>
  <c r="T54" i="71"/>
  <c r="T41" i="71"/>
  <c r="T42" i="71"/>
  <c r="T55" i="71"/>
  <c r="S37" i="71"/>
  <c r="S38" i="71"/>
  <c r="S39" i="71"/>
  <c r="S40" i="71"/>
  <c r="S45" i="71"/>
  <c r="S46" i="71"/>
  <c r="S47" i="71"/>
  <c r="S48" i="71"/>
  <c r="S49" i="71"/>
  <c r="S50" i="71"/>
  <c r="S51" i="71"/>
  <c r="S52" i="71"/>
  <c r="S53" i="71"/>
  <c r="S54" i="71"/>
  <c r="S41" i="71"/>
  <c r="S42" i="71"/>
  <c r="S55" i="71"/>
  <c r="R37" i="71"/>
  <c r="R38" i="71"/>
  <c r="R39" i="71"/>
  <c r="R40" i="71"/>
  <c r="R45" i="71"/>
  <c r="R46" i="71"/>
  <c r="R47" i="71"/>
  <c r="R48" i="71"/>
  <c r="R49" i="71"/>
  <c r="R50" i="71"/>
  <c r="R51" i="71"/>
  <c r="R52" i="71"/>
  <c r="R53" i="71"/>
  <c r="R54" i="71"/>
  <c r="R41" i="71"/>
  <c r="R42" i="71"/>
  <c r="R55" i="71"/>
  <c r="Q37" i="71"/>
  <c r="Q38" i="71"/>
  <c r="Q39" i="71"/>
  <c r="Q40" i="71"/>
  <c r="Q45" i="71"/>
  <c r="Q46" i="71"/>
  <c r="Q47" i="71"/>
  <c r="Q48" i="71"/>
  <c r="Q49" i="71"/>
  <c r="Q50" i="71"/>
  <c r="Q51" i="71"/>
  <c r="Q52" i="71"/>
  <c r="Q53" i="71"/>
  <c r="Q54" i="71"/>
  <c r="Q41" i="71"/>
  <c r="Q42" i="71"/>
  <c r="Q55" i="71"/>
  <c r="R10" i="73"/>
  <c r="R11" i="73"/>
  <c r="R57" i="73"/>
  <c r="R58" i="73"/>
  <c r="R59" i="73"/>
  <c r="R60" i="73"/>
  <c r="R67" i="73"/>
  <c r="R68" i="73"/>
  <c r="R69" i="73"/>
  <c r="R70" i="73"/>
  <c r="R71" i="73"/>
  <c r="R72" i="73"/>
  <c r="R73" i="73"/>
  <c r="R74" i="73"/>
  <c r="R75" i="73"/>
  <c r="R63" i="73"/>
  <c r="R64" i="73"/>
  <c r="R76" i="73"/>
  <c r="R77" i="73"/>
  <c r="R83" i="73"/>
  <c r="R84" i="73"/>
  <c r="R85" i="73"/>
  <c r="R86" i="73"/>
  <c r="S57" i="73"/>
  <c r="S58" i="73"/>
  <c r="S59" i="73"/>
  <c r="S60" i="73"/>
  <c r="S67" i="73"/>
  <c r="S68" i="73"/>
  <c r="S83" i="73"/>
  <c r="S69" i="73"/>
  <c r="S70" i="73"/>
  <c r="S71" i="73"/>
  <c r="S72" i="73"/>
  <c r="S73" i="73"/>
  <c r="S74" i="73"/>
  <c r="S75" i="73"/>
  <c r="S63" i="73"/>
  <c r="S64" i="73"/>
  <c r="S76" i="73"/>
  <c r="S77" i="73"/>
  <c r="S84" i="73"/>
  <c r="S85" i="73"/>
  <c r="S86" i="73"/>
  <c r="T10" i="73"/>
  <c r="T11" i="73"/>
  <c r="T57" i="73"/>
  <c r="T58" i="73"/>
  <c r="T59" i="73"/>
  <c r="T60" i="73"/>
  <c r="T67" i="73"/>
  <c r="T68" i="73"/>
  <c r="T83" i="73"/>
  <c r="T69" i="73"/>
  <c r="T70" i="73"/>
  <c r="T71" i="73"/>
  <c r="T72" i="73"/>
  <c r="T73" i="73"/>
  <c r="T74" i="73"/>
  <c r="T75" i="73"/>
  <c r="T63" i="73"/>
  <c r="T64" i="73"/>
  <c r="T76" i="73"/>
  <c r="T77" i="73"/>
  <c r="T84" i="73"/>
  <c r="T85" i="73"/>
  <c r="T86" i="73"/>
  <c r="U10" i="73"/>
  <c r="U11" i="73"/>
  <c r="U57" i="73"/>
  <c r="U58" i="73"/>
  <c r="U59" i="73"/>
  <c r="U60" i="73"/>
  <c r="U67" i="73"/>
  <c r="U68" i="73"/>
  <c r="U83" i="73"/>
  <c r="U69" i="73"/>
  <c r="U70" i="73"/>
  <c r="U71" i="73"/>
  <c r="U72" i="73"/>
  <c r="U73" i="73"/>
  <c r="U74" i="73"/>
  <c r="U75" i="73"/>
  <c r="U63" i="73"/>
  <c r="U64" i="73"/>
  <c r="U76" i="73"/>
  <c r="U77" i="73"/>
  <c r="U84" i="73"/>
  <c r="U85" i="73"/>
  <c r="U86" i="73"/>
  <c r="Q10" i="73"/>
  <c r="Q11" i="73"/>
  <c r="Q57" i="73"/>
  <c r="Q58" i="73"/>
  <c r="Q59" i="73"/>
  <c r="Q60" i="73"/>
  <c r="Q67" i="73"/>
  <c r="Q68" i="73"/>
  <c r="Q83" i="73"/>
  <c r="Q69" i="73"/>
  <c r="Q70" i="73"/>
  <c r="Q71" i="73"/>
  <c r="Q72" i="73"/>
  <c r="Q73" i="73"/>
  <c r="Q74" i="73"/>
  <c r="Q75" i="73"/>
  <c r="Q63" i="73"/>
  <c r="Q64" i="73"/>
  <c r="Q76" i="73"/>
  <c r="Q77" i="73"/>
  <c r="Q84" i="73"/>
  <c r="Q85" i="73"/>
  <c r="Q86" i="73"/>
  <c r="A5" i="73"/>
  <c r="A5" i="71"/>
  <c r="A5" i="69"/>
  <c r="C97" i="71"/>
  <c r="D13" i="70"/>
  <c r="D12" i="70"/>
  <c r="D11" i="70"/>
  <c r="D22" i="70"/>
  <c r="D21" i="70"/>
  <c r="D20" i="70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J28" i="70"/>
  <c r="I28" i="70"/>
  <c r="H28" i="70"/>
  <c r="G28" i="70"/>
  <c r="F28" i="70"/>
  <c r="G19" i="70"/>
  <c r="H19" i="70"/>
  <c r="I19" i="70"/>
  <c r="J19" i="70"/>
  <c r="F19" i="70"/>
  <c r="C88" i="73"/>
  <c r="C87" i="73"/>
  <c r="C66" i="71"/>
  <c r="C65" i="71"/>
  <c r="C50" i="69"/>
  <c r="C49" i="69"/>
  <c r="A2" i="73"/>
  <c r="A1" i="73"/>
  <c r="A2" i="71"/>
  <c r="A1" i="71"/>
  <c r="A2" i="69"/>
  <c r="A1" i="69"/>
  <c r="A1" i="72"/>
  <c r="A2" i="70"/>
  <c r="A1" i="70"/>
  <c r="D31" i="70"/>
  <c r="D30" i="70"/>
  <c r="D29" i="70"/>
  <c r="D5" i="72"/>
  <c r="A32" i="71"/>
  <c r="A10" i="71"/>
  <c r="A33" i="71"/>
  <c r="A34" i="71"/>
  <c r="A35" i="71"/>
  <c r="A37" i="71"/>
  <c r="A42" i="71"/>
  <c r="A45" i="71"/>
  <c r="U82" i="73"/>
  <c r="U43" i="69"/>
  <c r="R44" i="69"/>
  <c r="D48" i="70"/>
  <c r="D57" i="70"/>
  <c r="D50" i="70"/>
  <c r="D43" i="70"/>
  <c r="R60" i="71"/>
  <c r="Q82" i="73"/>
  <c r="T82" i="73"/>
  <c r="S82" i="73"/>
  <c r="R82" i="73"/>
  <c r="Q81" i="73"/>
  <c r="Q87" i="73"/>
  <c r="Q89" i="73"/>
  <c r="T81" i="73"/>
  <c r="T87" i="73"/>
  <c r="S81" i="73"/>
  <c r="S87" i="73"/>
  <c r="S89" i="73"/>
  <c r="R81" i="73"/>
  <c r="R87" i="73"/>
  <c r="S43" i="69"/>
  <c r="S44" i="69"/>
  <c r="T44" i="69"/>
  <c r="Q44" i="69"/>
  <c r="U44" i="69"/>
  <c r="Q43" i="69"/>
  <c r="B18" i="74"/>
  <c r="T78" i="71"/>
  <c r="S59" i="71"/>
  <c r="Q61" i="71"/>
  <c r="Q60" i="71"/>
  <c r="S60" i="71"/>
  <c r="U61" i="71"/>
  <c r="U60" i="71"/>
  <c r="U59" i="71"/>
  <c r="R61" i="71"/>
  <c r="Q59" i="71"/>
  <c r="S61" i="71"/>
  <c r="T61" i="71"/>
  <c r="T60" i="71"/>
  <c r="R59" i="71"/>
  <c r="U81" i="73"/>
  <c r="U87" i="73"/>
  <c r="U89" i="73"/>
  <c r="R43" i="69"/>
  <c r="T43" i="69"/>
  <c r="T36" i="69"/>
  <c r="R36" i="69"/>
  <c r="Q36" i="69"/>
  <c r="Q48" i="69"/>
  <c r="S36" i="69"/>
  <c r="D41" i="70"/>
  <c r="D55" i="70"/>
  <c r="R31" i="69"/>
  <c r="Q31" i="69"/>
  <c r="T31" i="69"/>
  <c r="T48" i="69"/>
  <c r="S31" i="69"/>
  <c r="D42" i="70"/>
  <c r="D44" i="70"/>
  <c r="D49" i="70"/>
  <c r="D56" i="70"/>
  <c r="T32" i="69"/>
  <c r="S32" i="69"/>
  <c r="S48" i="69"/>
  <c r="R32" i="69"/>
  <c r="Q32" i="69"/>
  <c r="T35" i="69"/>
  <c r="R35" i="69"/>
  <c r="Q35" i="69"/>
  <c r="S35" i="69"/>
  <c r="T59" i="71"/>
  <c r="D58" i="70"/>
  <c r="R48" i="69"/>
  <c r="G50" i="70"/>
  <c r="J49" i="70"/>
  <c r="I57" i="70"/>
  <c r="I49" i="70"/>
  <c r="H50" i="70"/>
  <c r="Q76" i="71"/>
  <c r="J57" i="70"/>
  <c r="U76" i="71"/>
  <c r="H55" i="70"/>
  <c r="G55" i="70"/>
  <c r="J43" i="70"/>
  <c r="H41" i="70"/>
  <c r="U49" i="69"/>
  <c r="U51" i="69"/>
  <c r="J41" i="70"/>
  <c r="F42" i="70"/>
  <c r="I42" i="70"/>
  <c r="G48" i="70"/>
  <c r="J50" i="70"/>
  <c r="F49" i="70"/>
  <c r="H48" i="70"/>
  <c r="J56" i="70"/>
  <c r="F55" i="70"/>
  <c r="G56" i="70"/>
  <c r="I56" i="70"/>
  <c r="R76" i="71"/>
  <c r="Q73" i="71"/>
  <c r="R73" i="71"/>
  <c r="G42" i="70"/>
  <c r="T80" i="71"/>
  <c r="U79" i="71"/>
  <c r="Q79" i="71"/>
  <c r="R80" i="71"/>
  <c r="S80" i="71"/>
  <c r="T79" i="71"/>
  <c r="U80" i="71"/>
  <c r="R79" i="71"/>
  <c r="S79" i="71"/>
  <c r="Q80" i="71"/>
  <c r="T99" i="73"/>
  <c r="I98" i="70"/>
  <c r="U98" i="73"/>
  <c r="J97" i="70"/>
  <c r="Q98" i="73"/>
  <c r="F97" i="70"/>
  <c r="R97" i="73"/>
  <c r="G96" i="70"/>
  <c r="S96" i="73"/>
  <c r="H95" i="70"/>
  <c r="T95" i="73"/>
  <c r="I94" i="70"/>
  <c r="R94" i="73"/>
  <c r="Q94" i="73"/>
  <c r="S77" i="71"/>
  <c r="T75" i="71"/>
  <c r="T90" i="71"/>
  <c r="I86" i="70"/>
  <c r="O12" i="75"/>
  <c r="U74" i="71"/>
  <c r="Q74" i="71"/>
  <c r="Q89" i="71"/>
  <c r="F85" i="70"/>
  <c r="H12" i="72"/>
  <c r="U72" i="71"/>
  <c r="T61" i="69"/>
  <c r="I78" i="70"/>
  <c r="U60" i="69"/>
  <c r="J77" i="70"/>
  <c r="Q60" i="69"/>
  <c r="F77" i="70"/>
  <c r="R59" i="69"/>
  <c r="G76" i="70"/>
  <c r="S58" i="69"/>
  <c r="H75" i="70"/>
  <c r="T57" i="69"/>
  <c r="I74" i="70"/>
  <c r="R56" i="69"/>
  <c r="Q56" i="69"/>
  <c r="F73" i="70"/>
  <c r="S99" i="73"/>
  <c r="H98" i="70"/>
  <c r="U97" i="73"/>
  <c r="J96" i="70"/>
  <c r="S95" i="73"/>
  <c r="T74" i="71"/>
  <c r="T89" i="71"/>
  <c r="I85" i="70"/>
  <c r="Q12" i="72"/>
  <c r="U59" i="69"/>
  <c r="J76" i="70"/>
  <c r="R58" i="69"/>
  <c r="G75" i="70"/>
  <c r="R99" i="73"/>
  <c r="G98" i="70"/>
  <c r="S98" i="73"/>
  <c r="H97" i="70"/>
  <c r="T97" i="73"/>
  <c r="I96" i="70"/>
  <c r="U96" i="73"/>
  <c r="J95" i="70"/>
  <c r="Q96" i="73"/>
  <c r="F95" i="70"/>
  <c r="R95" i="73"/>
  <c r="G94" i="70"/>
  <c r="T94" i="73"/>
  <c r="U77" i="71"/>
  <c r="Q77" i="71"/>
  <c r="Q92" i="71"/>
  <c r="F88" i="70"/>
  <c r="H12" i="75"/>
  <c r="R75" i="71"/>
  <c r="S74" i="71"/>
  <c r="S72" i="71"/>
  <c r="R61" i="69"/>
  <c r="G78" i="70"/>
  <c r="S60" i="69"/>
  <c r="H77" i="70"/>
  <c r="T59" i="69"/>
  <c r="I76" i="70"/>
  <c r="U58" i="69"/>
  <c r="J75" i="70"/>
  <c r="Q58" i="69"/>
  <c r="F75" i="70"/>
  <c r="R57" i="69"/>
  <c r="G74" i="70"/>
  <c r="T56" i="69"/>
  <c r="Q97" i="73"/>
  <c r="F96" i="70"/>
  <c r="R77" i="71"/>
  <c r="Q72" i="71"/>
  <c r="T60" i="69"/>
  <c r="I77" i="70"/>
  <c r="S56" i="69"/>
  <c r="H73" i="70"/>
  <c r="U99" i="73"/>
  <c r="J98" i="70"/>
  <c r="Q99" i="73"/>
  <c r="F98" i="70"/>
  <c r="R98" i="73"/>
  <c r="G97" i="70"/>
  <c r="S97" i="73"/>
  <c r="H96" i="70"/>
  <c r="T96" i="73"/>
  <c r="I95" i="70"/>
  <c r="U95" i="73"/>
  <c r="J94" i="70"/>
  <c r="Q95" i="73"/>
  <c r="F94" i="70"/>
  <c r="U94" i="73"/>
  <c r="T77" i="71"/>
  <c r="U75" i="71"/>
  <c r="Q75" i="71"/>
  <c r="R74" i="71"/>
  <c r="T72" i="71"/>
  <c r="T87" i="71"/>
  <c r="I83" i="70"/>
  <c r="U61" i="69"/>
  <c r="J78" i="70"/>
  <c r="Q61" i="69"/>
  <c r="F78" i="70"/>
  <c r="R60" i="69"/>
  <c r="G77" i="70"/>
  <c r="S59" i="69"/>
  <c r="H76" i="70"/>
  <c r="T58" i="69"/>
  <c r="I75" i="70"/>
  <c r="U57" i="69"/>
  <c r="J74" i="70"/>
  <c r="Q57" i="69"/>
  <c r="F74" i="70"/>
  <c r="U56" i="69"/>
  <c r="T98" i="73"/>
  <c r="I97" i="70"/>
  <c r="R96" i="73"/>
  <c r="G95" i="70"/>
  <c r="S94" i="73"/>
  <c r="H93" i="70"/>
  <c r="S75" i="71"/>
  <c r="R72" i="71"/>
  <c r="S61" i="69"/>
  <c r="H78" i="70"/>
  <c r="Q59" i="69"/>
  <c r="S57" i="69"/>
  <c r="G41" i="70"/>
  <c r="J42" i="70"/>
  <c r="I41" i="70"/>
  <c r="H43" i="70"/>
  <c r="G49" i="70"/>
  <c r="F48" i="70"/>
  <c r="I48" i="70"/>
  <c r="H49" i="70"/>
  <c r="F57" i="70"/>
  <c r="H57" i="70"/>
  <c r="G57" i="70"/>
  <c r="U73" i="71"/>
  <c r="U88" i="71"/>
  <c r="J84" i="70"/>
  <c r="S12" i="72"/>
  <c r="S73" i="71"/>
  <c r="S88" i="71"/>
  <c r="H84" i="70"/>
  <c r="M12" i="72"/>
  <c r="U78" i="71"/>
  <c r="Q78" i="71"/>
  <c r="F41" i="70"/>
  <c r="G43" i="70"/>
  <c r="F43" i="70"/>
  <c r="I43" i="70"/>
  <c r="H42" i="70"/>
  <c r="J48" i="70"/>
  <c r="F50" i="70"/>
  <c r="I50" i="70"/>
  <c r="J55" i="70"/>
  <c r="F56" i="70"/>
  <c r="H56" i="70"/>
  <c r="I55" i="70"/>
  <c r="T73" i="71"/>
  <c r="T88" i="71"/>
  <c r="I84" i="70"/>
  <c r="P12" i="72"/>
  <c r="S76" i="71"/>
  <c r="T76" i="71"/>
  <c r="R78" i="71"/>
  <c r="S78" i="71"/>
  <c r="R88" i="73"/>
  <c r="R89" i="73"/>
  <c r="S49" i="69"/>
  <c r="S50" i="69"/>
  <c r="U50" i="69"/>
  <c r="S88" i="73"/>
  <c r="I31" i="70"/>
  <c r="I29" i="70"/>
  <c r="F31" i="70"/>
  <c r="J30" i="70"/>
  <c r="G30" i="70"/>
  <c r="F29" i="70"/>
  <c r="J31" i="70"/>
  <c r="I30" i="70"/>
  <c r="U88" i="73"/>
  <c r="H31" i="70"/>
  <c r="F30" i="70"/>
  <c r="G29" i="70"/>
  <c r="H30" i="70"/>
  <c r="J29" i="70"/>
  <c r="G31" i="70"/>
  <c r="H29" i="70"/>
  <c r="S65" i="71"/>
  <c r="H22" i="70"/>
  <c r="R65" i="71"/>
  <c r="R66" i="71"/>
  <c r="Q65" i="71"/>
  <c r="Q67" i="71"/>
  <c r="U65" i="71"/>
  <c r="U67" i="71"/>
  <c r="G22" i="70"/>
  <c r="I21" i="70"/>
  <c r="H21" i="70"/>
  <c r="T65" i="71"/>
  <c r="I22" i="70"/>
  <c r="J20" i="70"/>
  <c r="J22" i="70"/>
  <c r="F21" i="70"/>
  <c r="F20" i="70"/>
  <c r="F22" i="70"/>
  <c r="I20" i="70"/>
  <c r="G20" i="70"/>
  <c r="G21" i="70"/>
  <c r="H20" i="70"/>
  <c r="J21" i="70"/>
  <c r="R49" i="69"/>
  <c r="R50" i="69"/>
  <c r="T49" i="69"/>
  <c r="T50" i="69"/>
  <c r="H13" i="70"/>
  <c r="I11" i="70"/>
  <c r="F12" i="70"/>
  <c r="G12" i="70"/>
  <c r="Q49" i="69"/>
  <c r="Q51" i="69"/>
  <c r="H12" i="70"/>
  <c r="I12" i="70"/>
  <c r="J13" i="70"/>
  <c r="F11" i="70"/>
  <c r="T89" i="73"/>
  <c r="T88" i="73"/>
  <c r="J12" i="70"/>
  <c r="J11" i="70"/>
  <c r="H11" i="70"/>
  <c r="G11" i="70"/>
  <c r="I13" i="70"/>
  <c r="F13" i="70"/>
  <c r="S51" i="69"/>
  <c r="G13" i="70"/>
  <c r="Q88" i="73"/>
  <c r="U91" i="71"/>
  <c r="J87" i="70"/>
  <c r="S12" i="75"/>
  <c r="Q88" i="71"/>
  <c r="F84" i="70"/>
  <c r="G12" i="72"/>
  <c r="H51" i="70"/>
  <c r="Q91" i="71"/>
  <c r="F87" i="70"/>
  <c r="G12" i="75"/>
  <c r="T91" i="71"/>
  <c r="I87" i="70"/>
  <c r="P12" i="75"/>
  <c r="F51" i="70"/>
  <c r="G58" i="70"/>
  <c r="I58" i="70"/>
  <c r="T92" i="71"/>
  <c r="I88" i="70"/>
  <c r="Q12" i="75"/>
  <c r="R51" i="69"/>
  <c r="S91" i="71"/>
  <c r="H87" i="70"/>
  <c r="M12" i="75"/>
  <c r="S89" i="71"/>
  <c r="H85" i="70"/>
  <c r="N12" i="72"/>
  <c r="T81" i="71"/>
  <c r="H58" i="70"/>
  <c r="U92" i="71"/>
  <c r="J88" i="70"/>
  <c r="T12" i="75"/>
  <c r="U89" i="71"/>
  <c r="J85" i="70"/>
  <c r="T12" i="72"/>
  <c r="F58" i="70"/>
  <c r="U81" i="71"/>
  <c r="R88" i="71"/>
  <c r="G84" i="70"/>
  <c r="J12" i="72"/>
  <c r="R81" i="71"/>
  <c r="I51" i="70"/>
  <c r="S92" i="71"/>
  <c r="H88" i="70"/>
  <c r="N12" i="75"/>
  <c r="Q90" i="71"/>
  <c r="F86" i="70"/>
  <c r="F12" i="75"/>
  <c r="G51" i="70"/>
  <c r="I73" i="70"/>
  <c r="I79" i="70"/>
  <c r="T62" i="69"/>
  <c r="T64" i="69"/>
  <c r="Q81" i="71"/>
  <c r="S81" i="71"/>
  <c r="Q62" i="69"/>
  <c r="F76" i="70"/>
  <c r="F79" i="70"/>
  <c r="R89" i="71"/>
  <c r="G85" i="70"/>
  <c r="K12" i="72"/>
  <c r="J93" i="70"/>
  <c r="J99" i="70"/>
  <c r="U100" i="73"/>
  <c r="U102" i="73"/>
  <c r="S87" i="71"/>
  <c r="G93" i="70"/>
  <c r="G99" i="70"/>
  <c r="R100" i="73"/>
  <c r="R102" i="73"/>
  <c r="I93" i="70"/>
  <c r="I99" i="70"/>
  <c r="T100" i="73"/>
  <c r="T102" i="73"/>
  <c r="R87" i="71"/>
  <c r="G83" i="70"/>
  <c r="I12" i="72"/>
  <c r="U90" i="71"/>
  <c r="J86" i="70"/>
  <c r="R12" i="75"/>
  <c r="Z12" i="75"/>
  <c r="Q87" i="71"/>
  <c r="F83" i="70"/>
  <c r="F12" i="72"/>
  <c r="R90" i="71"/>
  <c r="G86" i="70"/>
  <c r="I12" i="75"/>
  <c r="U87" i="71"/>
  <c r="J83" i="70"/>
  <c r="R12" i="72"/>
  <c r="R91" i="71"/>
  <c r="G87" i="70"/>
  <c r="J12" i="75"/>
  <c r="S62" i="69"/>
  <c r="S64" i="69"/>
  <c r="H74" i="70"/>
  <c r="H79" i="70"/>
  <c r="S90" i="71"/>
  <c r="H86" i="70"/>
  <c r="L12" i="75"/>
  <c r="J73" i="70"/>
  <c r="J79" i="70"/>
  <c r="U62" i="69"/>
  <c r="U64" i="69"/>
  <c r="R92" i="71"/>
  <c r="G88" i="70"/>
  <c r="K12" i="75"/>
  <c r="S100" i="73"/>
  <c r="S102" i="73"/>
  <c r="H94" i="70"/>
  <c r="H99" i="70"/>
  <c r="G73" i="70"/>
  <c r="G79" i="70"/>
  <c r="R62" i="69"/>
  <c r="R64" i="69"/>
  <c r="F93" i="70"/>
  <c r="F99" i="70"/>
  <c r="Q100" i="73"/>
  <c r="I89" i="70"/>
  <c r="O12" i="72"/>
  <c r="R83" i="71"/>
  <c r="R67" i="71"/>
  <c r="W89" i="73"/>
  <c r="W3" i="73"/>
  <c r="F32" i="70"/>
  <c r="T51" i="69"/>
  <c r="W51" i="69"/>
  <c r="W3" i="69"/>
  <c r="J32" i="70"/>
  <c r="I32" i="70"/>
  <c r="H32" i="70"/>
  <c r="G32" i="70"/>
  <c r="H23" i="70"/>
  <c r="F23" i="70"/>
  <c r="J23" i="70"/>
  <c r="S67" i="71"/>
  <c r="S66" i="71"/>
  <c r="Q66" i="71"/>
  <c r="I23" i="70"/>
  <c r="U66" i="71"/>
  <c r="T66" i="71"/>
  <c r="T67" i="71"/>
  <c r="G23" i="70"/>
  <c r="G14" i="70"/>
  <c r="Q50" i="69"/>
  <c r="F44" i="70"/>
  <c r="G44" i="70"/>
  <c r="F14" i="70"/>
  <c r="I14" i="70"/>
  <c r="I44" i="70"/>
  <c r="J14" i="70"/>
  <c r="H14" i="70"/>
  <c r="H44" i="70"/>
  <c r="J44" i="70"/>
  <c r="J58" i="70"/>
  <c r="J51" i="70"/>
  <c r="Y12" i="75"/>
  <c r="I67" i="70"/>
  <c r="T93" i="71"/>
  <c r="T95" i="71"/>
  <c r="V12" i="75"/>
  <c r="U93" i="71"/>
  <c r="U95" i="71"/>
  <c r="Q93" i="71"/>
  <c r="W12" i="75"/>
  <c r="J89" i="70"/>
  <c r="J107" i="70"/>
  <c r="X12" i="75"/>
  <c r="Q95" i="71"/>
  <c r="R93" i="71"/>
  <c r="R95" i="71"/>
  <c r="Q102" i="73"/>
  <c r="W102" i="73"/>
  <c r="D104" i="73"/>
  <c r="D66" i="69"/>
  <c r="F89" i="70"/>
  <c r="F104" i="70"/>
  <c r="G89" i="70"/>
  <c r="G104" i="70"/>
  <c r="H108" i="70"/>
  <c r="H105" i="70"/>
  <c r="H106" i="70"/>
  <c r="H103" i="70"/>
  <c r="Q64" i="69"/>
  <c r="W64" i="69"/>
  <c r="G106" i="70"/>
  <c r="G103" i="70"/>
  <c r="I108" i="70"/>
  <c r="I105" i="70"/>
  <c r="J106" i="70"/>
  <c r="J103" i="70"/>
  <c r="F103" i="70"/>
  <c r="F106" i="70"/>
  <c r="F105" i="70"/>
  <c r="F108" i="70"/>
  <c r="G108" i="70"/>
  <c r="G105" i="70"/>
  <c r="J108" i="70"/>
  <c r="J105" i="70"/>
  <c r="I106" i="70"/>
  <c r="I103" i="70"/>
  <c r="S93" i="71"/>
  <c r="S95" i="71"/>
  <c r="H83" i="70"/>
  <c r="U83" i="71"/>
  <c r="I66" i="70"/>
  <c r="I107" i="70"/>
  <c r="F66" i="70"/>
  <c r="Q83" i="71"/>
  <c r="I104" i="70"/>
  <c r="T83" i="71"/>
  <c r="S83" i="71"/>
  <c r="H66" i="70"/>
  <c r="J64" i="70"/>
  <c r="J67" i="70"/>
  <c r="H64" i="70"/>
  <c r="H67" i="70"/>
  <c r="I62" i="70"/>
  <c r="I65" i="70"/>
  <c r="F64" i="70"/>
  <c r="F67" i="70"/>
  <c r="J62" i="70"/>
  <c r="J65" i="70"/>
  <c r="V12" i="72"/>
  <c r="H62" i="70"/>
  <c r="H65" i="70"/>
  <c r="F65" i="70"/>
  <c r="G62" i="70"/>
  <c r="G65" i="70"/>
  <c r="G64" i="70"/>
  <c r="G67" i="70"/>
  <c r="G63" i="70"/>
  <c r="G66" i="70"/>
  <c r="J66" i="70"/>
  <c r="W12" i="72"/>
  <c r="Z12" i="72"/>
  <c r="Y12" i="72"/>
  <c r="I64" i="70"/>
  <c r="W67" i="71"/>
  <c r="W3" i="71"/>
  <c r="F63" i="70"/>
  <c r="F62" i="70"/>
  <c r="I63" i="70"/>
  <c r="H63" i="70"/>
  <c r="J63" i="70"/>
  <c r="AB12" i="75"/>
  <c r="J104" i="70"/>
  <c r="W95" i="71"/>
  <c r="D97" i="71"/>
  <c r="F107" i="70"/>
  <c r="G107" i="70"/>
  <c r="L12" i="72"/>
  <c r="X12" i="72"/>
  <c r="AB12" i="72"/>
  <c r="H89" i="70"/>
  <c r="D6" i="72"/>
  <c r="D7" i="70"/>
  <c r="D6" i="75"/>
  <c r="W83" i="71"/>
  <c r="F34" i="70"/>
  <c r="H107" i="70"/>
  <c r="H104" i="70"/>
  <c r="F25" i="70"/>
  <c r="F16" i="70"/>
</calcChain>
</file>

<file path=xl/sharedStrings.xml><?xml version="1.0" encoding="utf-8"?>
<sst xmlns="http://schemas.openxmlformats.org/spreadsheetml/2006/main" count="870" uniqueCount="111">
  <si>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</si>
  <si>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</si>
  <si>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</si>
  <si>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</si>
  <si>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</si>
  <si>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</si>
  <si>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</si>
  <si>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</si>
  <si>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</si>
  <si>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</si>
  <si>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</si>
  <si>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</si>
  <si>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</si>
  <si>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</si>
  <si>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</si>
  <si>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</si>
  <si>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</si>
  <si>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</si>
  <si>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</si>
  <si>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</si>
  <si>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</si>
  <si>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</si>
  <si>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</si>
  <si>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</si>
  <si>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</si>
  <si>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</si>
  <si>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</si>
  <si>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</si>
  <si>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</si>
  <si>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</si>
  <si>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</si>
  <si>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</si>
  <si>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</si>
  <si>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</si>
  <si>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</si>
  <si>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</si>
  <si>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</si>
  <si>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</si>
  <si>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</si>
  <si>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</si>
  <si>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</si>
  <si>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</si>
  <si>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</si>
  <si>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</si>
  <si>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</si>
  <si>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</si>
  <si>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</si>
  <si>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</si>
  <si>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</si>
  <si>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UE</t>
  </si>
  <si>
    <t>Option 3</t>
  </si>
  <si>
    <t>Hours</t>
  </si>
  <si>
    <t>Each</t>
  </si>
  <si>
    <t>All</t>
  </si>
  <si>
    <t>NPV</t>
  </si>
  <si>
    <t>S4 Upgrade</t>
  </si>
  <si>
    <t>Summary split</t>
  </si>
  <si>
    <t>Checks</t>
  </si>
  <si>
    <t>VPN &amp; UE</t>
  </si>
  <si>
    <t>BIBW</t>
  </si>
  <si>
    <t>Currency refresh SAP BW on Exadata (out of support) migrate to SAP BW on Hana</t>
  </si>
  <si>
    <t>Currency refresh SAP BW on Hana</t>
  </si>
  <si>
    <t>Currency refresh SAP BW on Exadata - BW/4 HANA Licence</t>
  </si>
  <si>
    <t>Currency refresh SAP BW on Hana - BW/4 HANA Infrastructure</t>
  </si>
  <si>
    <t>Maintain Cognos currency</t>
  </si>
  <si>
    <t>Maintain Datastage currency</t>
  </si>
  <si>
    <t>Upgrade Cognos / Datastage to next supported version</t>
  </si>
  <si>
    <t>Upgrade Datastage</t>
  </si>
  <si>
    <t>Upgrade Native HANA / Tableau to maintain currency</t>
  </si>
  <si>
    <t>Regulatory and Compliance Enhancements - minor enhancement</t>
  </si>
  <si>
    <t>Project Manager - project design</t>
  </si>
  <si>
    <t>Project Resource - project design</t>
  </si>
  <si>
    <t>BI Lead Architect/Developer - project design</t>
  </si>
  <si>
    <t>Cloud Architect/Admin - project design</t>
  </si>
  <si>
    <t>BI / Report Developer - project design</t>
  </si>
  <si>
    <t>BI/SAP Admin - project design</t>
  </si>
  <si>
    <t>BI/SAP Security  - project design</t>
  </si>
  <si>
    <t>Project Manager - project initiation</t>
  </si>
  <si>
    <t>BI Lead Architect/Developer - project initiation</t>
  </si>
  <si>
    <t>Cloud Architect/Admin - project initiation</t>
  </si>
  <si>
    <t>BI / Report Developer - project initiation</t>
  </si>
  <si>
    <t>BI/SAP Admin - project initiation</t>
  </si>
  <si>
    <t>BI/SAP Security  - project initiation</t>
  </si>
  <si>
    <t>Project Manager - testing &amp; deployment</t>
  </si>
  <si>
    <t>Project Resource  - testing &amp; deployment</t>
  </si>
  <si>
    <t>Test Lead Analyst - testing &amp; deployment</t>
  </si>
  <si>
    <t>BI / Report Developer - testing &amp; deployment</t>
  </si>
  <si>
    <t>BI/SAP Admin - testing &amp; deployment</t>
  </si>
  <si>
    <t>Test Analyst - testing &amp; deployment</t>
  </si>
  <si>
    <t>BI/SAP Security - testing &amp; deployment</t>
  </si>
  <si>
    <t>Cognos/Datastage consultant - project design</t>
  </si>
  <si>
    <t>Cognos/Datastage consultant - project initiation</t>
  </si>
  <si>
    <t>Cognos/Datastage consultant - testing &amp; deployment</t>
  </si>
  <si>
    <t>BW/4 HANA Licence - project initiation</t>
  </si>
  <si>
    <t>BW/4 HANA Infrastructure - project initiation</t>
  </si>
  <si>
    <t>Reporting Front end Licence - project initiation</t>
  </si>
  <si>
    <t>Reporting Front end Infrastructure - project initiation</t>
  </si>
  <si>
    <t>Datastage consultant - project design</t>
  </si>
  <si>
    <t>Datastage consultant - project initiation</t>
  </si>
  <si>
    <t>Datastage consultant - testing &amp; deployment</t>
  </si>
  <si>
    <t>Summary split by company</t>
  </si>
  <si>
    <t>Total Expenditure ($ 2020/21)</t>
  </si>
  <si>
    <t>Customer numbers split</t>
  </si>
  <si>
    <t>Powercor</t>
  </si>
  <si>
    <t>Citipower</t>
  </si>
  <si>
    <t>United Energy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</si>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</sst>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#,##0.0_ ;[Red]\-#,##0.0\ "/>
    <numFmt numFmtId="175" formatCode="_-* #,##0_-;\-* #,##0_-;_-* &quot;-&quot;??_-;_-@_-"/>
    <numFmt numFmtId="176" formatCode="0.0%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b/>
      <i/>
      <sz val="8"/>
      <color theme="2"/>
      <name val="Calibri"/>
      <family val="2"/>
      <scheme val="minor"/>
    </font>
    <font>
      <i/>
      <sz val="10"/>
      <color rgb="FFC00000"/>
      <name val="Calibri"/>
      <family val="2"/>
      <scheme val="minor"/>
    </font>
    <font>
      <sz val="10"/>
      <color rgb="FF0033CC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ashed">
        <color auto="1"/>
      </bottom>
      <diagonal/>
    </border>
  </borders>
  <cellStyleXfs count="28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4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18" fillId="0" borderId="0" xfId="0" applyFont="1"/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9" fillId="3" borderId="0" xfId="0" applyFont="1" applyFill="1"/>
    <xf numFmtId="0" fontId="20" fillId="3" borderId="0" xfId="0" applyFont="1" applyFill="1"/>
    <xf numFmtId="0" fontId="21" fillId="3" borderId="0" xfId="0" applyFont="1" applyFill="1"/>
    <xf numFmtId="0" fontId="21" fillId="3" borderId="0" xfId="0" applyFont="1" applyFill="1" applyAlignment="1">
      <alignment horizontal="center"/>
    </xf>
    <xf numFmtId="0" fontId="22" fillId="0" borderId="0" xfId="0" applyFont="1"/>
    <xf numFmtId="6" fontId="13" fillId="0" borderId="0" xfId="0" applyNumberFormat="1" applyFont="1"/>
    <xf numFmtId="8" fontId="13" fillId="0" borderId="0" xfId="0" applyNumberFormat="1" applyFont="1" applyBorder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0" borderId="0" xfId="0" applyFont="1"/>
    <xf numFmtId="0" fontId="25" fillId="3" borderId="0" xfId="0" applyFont="1" applyFill="1"/>
    <xf numFmtId="0" fontId="25" fillId="3" borderId="0" xfId="0" applyFont="1" applyFill="1" applyAlignment="1">
      <alignment horizontal="center"/>
    </xf>
    <xf numFmtId="0" fontId="26" fillId="0" borderId="0" xfId="0" applyFont="1"/>
    <xf numFmtId="0" fontId="27" fillId="6" borderId="0" xfId="14" applyFont="1" applyFill="1" applyAlignment="1" applyProtection="1"/>
    <xf numFmtId="0" fontId="27" fillId="6" borderId="0" xfId="14" applyFont="1" applyFill="1" applyProtection="1"/>
    <xf numFmtId="0" fontId="27" fillId="6" borderId="0" xfId="14" applyFont="1" applyFill="1" applyAlignment="1" applyProtection="1">
      <alignment textRotation="2"/>
    </xf>
    <xf numFmtId="0" fontId="27" fillId="6" borderId="0" xfId="14" applyFont="1" applyFill="1" applyBorder="1" applyAlignment="1" applyProtection="1">
      <alignment textRotation="2"/>
    </xf>
    <xf numFmtId="0" fontId="28" fillId="7" borderId="0" xfId="14" applyFont="1" applyFill="1" applyAlignment="1" applyProtection="1"/>
    <xf numFmtId="0" fontId="29" fillId="6" borderId="0" xfId="14" applyFont="1" applyFill="1" applyAlignment="1" applyProtection="1"/>
    <xf numFmtId="0" fontId="29" fillId="6" borderId="0" xfId="14" applyFont="1" applyFill="1" applyProtection="1"/>
    <xf numFmtId="0" fontId="29" fillId="5" borderId="0" xfId="14" applyFont="1" applyFill="1" applyAlignment="1" applyProtection="1"/>
    <xf numFmtId="0" fontId="30" fillId="6" borderId="0" xfId="14" applyFont="1" applyFill="1" applyAlignment="1" applyProtection="1">
      <alignment textRotation="2"/>
    </xf>
    <xf numFmtId="0" fontId="30" fillId="6" borderId="0" xfId="14" applyFont="1" applyFill="1" applyProtection="1"/>
    <xf numFmtId="0" fontId="30" fillId="6" borderId="0" xfId="14" applyFont="1" applyFill="1" applyBorder="1" applyAlignment="1" applyProtection="1">
      <alignment textRotation="2"/>
    </xf>
    <xf numFmtId="0" fontId="30" fillId="6" borderId="0" xfId="14" applyFont="1" applyFill="1" applyAlignment="1" applyProtection="1"/>
    <xf numFmtId="0" fontId="31" fillId="6" borderId="0" xfId="14" applyFont="1" applyFill="1" applyAlignment="1" applyProtection="1"/>
    <xf numFmtId="0" fontId="32" fillId="7" borderId="0" xfId="14" applyFont="1" applyFill="1" applyBorder="1" applyProtection="1"/>
    <xf numFmtId="0" fontId="29" fillId="7" borderId="0" xfId="14" applyFont="1" applyFill="1" applyBorder="1" applyProtection="1"/>
    <xf numFmtId="0" fontId="32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9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2" fillId="6" borderId="0" xfId="14" applyFont="1" applyFill="1" applyAlignment="1" applyProtection="1">
      <alignment horizontal="center"/>
    </xf>
    <xf numFmtId="0" fontId="32" fillId="7" borderId="0" xfId="14" applyFont="1" applyFill="1" applyBorder="1"/>
    <xf numFmtId="3" fontId="32" fillId="7" borderId="0" xfId="14" applyNumberFormat="1" applyFont="1" applyFill="1" applyBorder="1"/>
    <xf numFmtId="169" fontId="12" fillId="0" borderId="0" xfId="0" applyNumberFormat="1" applyFont="1" applyFill="1"/>
    <xf numFmtId="0" fontId="24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 applyBorder="1" applyAlignment="1">
      <alignment horizontal="right"/>
    </xf>
    <xf numFmtId="0" fontId="0" fillId="0" borderId="0" xfId="0" applyFont="1"/>
    <xf numFmtId="0" fontId="34" fillId="0" borderId="0" xfId="0" applyFont="1"/>
    <xf numFmtId="0" fontId="35" fillId="0" borderId="0" xfId="0" applyFont="1"/>
    <xf numFmtId="172" fontId="0" fillId="0" borderId="0" xfId="0" applyNumberFormat="1" applyFont="1"/>
    <xf numFmtId="10" fontId="35" fillId="0" borderId="0" xfId="26" applyNumberFormat="1" applyFont="1"/>
    <xf numFmtId="171" fontId="36" fillId="0" borderId="0" xfId="0" applyNumberFormat="1" applyFont="1"/>
    <xf numFmtId="0" fontId="36" fillId="0" borderId="0" xfId="0" applyFont="1"/>
    <xf numFmtId="171" fontId="37" fillId="0" borderId="0" xfId="0" applyNumberFormat="1" applyFont="1"/>
    <xf numFmtId="0" fontId="37" fillId="0" borderId="0" xfId="0" applyFont="1"/>
    <xf numFmtId="173" fontId="12" fillId="0" borderId="0" xfId="0" applyNumberFormat="1" applyFont="1"/>
    <xf numFmtId="0" fontId="38" fillId="0" borderId="0" xfId="13" applyFont="1" applyFill="1" applyAlignment="1">
      <alignment horizontal="left" vertical="center"/>
    </xf>
    <xf numFmtId="1" fontId="39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1" fillId="9" borderId="0" xfId="0" applyFont="1" applyFill="1"/>
    <xf numFmtId="169" fontId="42" fillId="9" borderId="0" xfId="0" applyNumberFormat="1" applyFont="1" applyFill="1"/>
    <xf numFmtId="6" fontId="13" fillId="0" borderId="0" xfId="0" applyNumberFormat="1" applyFont="1" applyBorder="1"/>
    <xf numFmtId="0" fontId="0" fillId="0" borderId="2" xfId="0" applyBorder="1"/>
    <xf numFmtId="1" fontId="43" fillId="2" borderId="1" xfId="26" applyNumberFormat="1" applyFont="1" applyFill="1" applyBorder="1" applyAlignment="1">
      <alignment horizontal="right"/>
    </xf>
    <xf numFmtId="10" fontId="43" fillId="2" borderId="0" xfId="26" applyNumberFormat="1" applyFont="1" applyFill="1"/>
    <xf numFmtId="1" fontId="43" fillId="2" borderId="0" xfId="26" applyNumberFormat="1" applyFont="1" applyFill="1"/>
    <xf numFmtId="1" fontId="43" fillId="2" borderId="0" xfId="26" applyNumberFormat="1" applyFont="1" applyFill="1" applyAlignment="1">
      <alignment horizontal="right"/>
    </xf>
    <xf numFmtId="0" fontId="45" fillId="2" borderId="7" xfId="0" applyFont="1" applyFill="1" applyBorder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8" xfId="0" applyFont="1" applyFill="1" applyBorder="1" applyAlignment="1">
      <alignment vertical="center"/>
    </xf>
    <xf numFmtId="168" fontId="45" fillId="2" borderId="1" xfId="0" applyNumberFormat="1" applyFont="1" applyFill="1" applyBorder="1" applyAlignment="1">
      <alignment horizontal="right" vertical="top"/>
    </xf>
    <xf numFmtId="170" fontId="45" fillId="2" borderId="1" xfId="0" applyNumberFormat="1" applyFont="1" applyFill="1" applyBorder="1" applyAlignment="1">
      <alignment horizontal="right" vertical="top"/>
    </xf>
    <xf numFmtId="1" fontId="45" fillId="2" borderId="1" xfId="0" applyNumberFormat="1" applyFont="1" applyFill="1" applyBorder="1"/>
    <xf numFmtId="166" fontId="45" fillId="2" borderId="1" xfId="0" applyNumberFormat="1" applyFont="1" applyFill="1" applyBorder="1"/>
    <xf numFmtId="0" fontId="45" fillId="2" borderId="7" xfId="0" applyFont="1" applyFill="1" applyBorder="1"/>
    <xf numFmtId="172" fontId="12" fillId="0" borderId="0" xfId="0" applyNumberFormat="1" applyFont="1"/>
    <xf numFmtId="169" fontId="40" fillId="6" borderId="0" xfId="0" applyNumberFormat="1" applyFont="1" applyFill="1" applyAlignment="1">
      <alignment horizontal="left"/>
    </xf>
    <xf numFmtId="0" fontId="46" fillId="6" borderId="0" xfId="14" applyFont="1" applyFill="1" applyAlignment="1" applyProtection="1"/>
    <xf numFmtId="0" fontId="47" fillId="0" borderId="0" xfId="0" applyFont="1"/>
    <xf numFmtId="0" fontId="48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13" fillId="0" borderId="5" xfId="0" applyNumberFormat="1" applyFont="1" applyFill="1" applyBorder="1" applyAlignment="1">
      <alignment horizontal="left" vertical="top"/>
    </xf>
    <xf numFmtId="0" fontId="12" fillId="0" borderId="9" xfId="0" applyFont="1" applyBorder="1"/>
    <xf numFmtId="0" fontId="48" fillId="0" borderId="9" xfId="0" applyFont="1" applyBorder="1"/>
    <xf numFmtId="3" fontId="12" fillId="0" borderId="9" xfId="0" applyNumberFormat="1" applyFont="1" applyBorder="1"/>
    <xf numFmtId="0" fontId="49" fillId="0" borderId="5" xfId="0" applyFont="1" applyBorder="1"/>
    <xf numFmtId="3" fontId="13" fillId="0" borderId="5" xfId="0" applyNumberFormat="1" applyFont="1" applyBorder="1"/>
    <xf numFmtId="0" fontId="50" fillId="0" borderId="0" xfId="0" applyFont="1"/>
    <xf numFmtId="167" fontId="50" fillId="0" borderId="0" xfId="0" applyNumberFormat="1" applyFont="1"/>
    <xf numFmtId="174" fontId="51" fillId="2" borderId="1" xfId="0" applyNumberFormat="1" applyFont="1" applyFill="1" applyBorder="1" applyAlignment="1">
      <alignment horizontal="right" vertical="top"/>
    </xf>
    <xf numFmtId="170" fontId="51" fillId="2" borderId="1" xfId="0" applyNumberFormat="1" applyFont="1" applyFill="1" applyBorder="1" applyAlignment="1">
      <alignment horizontal="right" vertical="top"/>
    </xf>
    <xf numFmtId="0" fontId="50" fillId="0" borderId="10" xfId="0" applyFont="1" applyBorder="1"/>
    <xf numFmtId="167" fontId="50" fillId="0" borderId="10" xfId="0" applyNumberFormat="1" applyFont="1" applyBorder="1"/>
    <xf numFmtId="175" fontId="12" fillId="0" borderId="0" xfId="27" applyNumberFormat="1" applyFont="1"/>
    <xf numFmtId="167" fontId="12" fillId="0" borderId="0" xfId="0" applyNumberFormat="1" applyFont="1"/>
    <xf numFmtId="0" fontId="52" fillId="0" borderId="2" xfId="0" applyFont="1" applyBorder="1"/>
    <xf numFmtId="0" fontId="52" fillId="0" borderId="0" xfId="0" applyFont="1" applyBorder="1"/>
    <xf numFmtId="8" fontId="12" fillId="0" borderId="3" xfId="0" applyNumberFormat="1" applyFont="1" applyBorder="1"/>
    <xf numFmtId="175" fontId="51" fillId="2" borderId="0" xfId="27" applyNumberFormat="1" applyFont="1" applyFill="1"/>
    <xf numFmtId="175" fontId="51" fillId="0" borderId="0" xfId="27" applyNumberFormat="1" applyFont="1" applyFill="1"/>
    <xf numFmtId="176" fontId="51" fillId="0" borderId="0" xfId="0" applyNumberFormat="1" applyFont="1" applyFill="1"/>
    <xf numFmtId="9" fontId="51" fillId="0" borderId="0" xfId="26" applyFont="1" applyFill="1"/>
    <xf numFmtId="6" fontId="12" fillId="0" borderId="0" xfId="0" applyNumberFormat="1" applyFont="1" applyFill="1" applyBorder="1" applyAlignment="1">
      <alignment horizontal="right" vertical="top"/>
    </xf>
    <xf numFmtId="6" fontId="13" fillId="0" borderId="4" xfId="0" applyNumberFormat="1" applyFont="1" applyBorder="1" applyAlignment="1">
      <alignment horizontal="left"/>
    </xf>
    <xf numFmtId="0" fontId="36" fillId="0" borderId="2" xfId="0" applyFont="1" applyBorder="1" applyAlignment="1">
      <alignment horizontal="left"/>
    </xf>
    <xf numFmtId="0" fontId="36" fillId="0" borderId="2" xfId="0" applyFont="1" applyBorder="1" applyAlignment="1">
      <alignment horizontal="right"/>
    </xf>
    <xf numFmtId="0" fontId="0" fillId="0" borderId="0" xfId="0" applyBorder="1"/>
    <xf numFmtId="0" fontId="37" fillId="0" borderId="0" xfId="0" applyFont="1" applyBorder="1" applyAlignment="1">
      <alignment horizontal="right"/>
    </xf>
    <xf numFmtId="0" fontId="44" fillId="0" borderId="0" xfId="0" applyFont="1" applyBorder="1" applyAlignment="1">
      <alignment horizontal="right"/>
    </xf>
    <xf numFmtId="0" fontId="12" fillId="0" borderId="9" xfId="0" applyFont="1" applyBorder="1" applyAlignment="1">
      <alignment horizontal="left"/>
    </xf>
    <xf numFmtId="176" fontId="51" fillId="0" borderId="9" xfId="0" applyNumberFormat="1" applyFont="1" applyFill="1" applyBorder="1"/>
    <xf numFmtId="0" fontId="12" fillId="0" borderId="0" xfId="0" applyFont="1" applyFill="1" applyBorder="1" applyAlignment="1">
      <alignment horizontal="left"/>
    </xf>
    <xf numFmtId="175" fontId="51" fillId="2" borderId="9" xfId="27" applyNumberFormat="1" applyFont="1" applyFill="1" applyBorder="1"/>
    <xf numFmtId="2" fontId="12" fillId="0" borderId="0" xfId="0" applyNumberFormat="1" applyFont="1" applyFill="1" applyBorder="1" applyAlignment="1">
      <alignment horizontal="right" vertical="top"/>
    </xf>
    <xf numFmtId="0" fontId="13" fillId="11" borderId="0" xfId="0" applyNumberFormat="1" applyFont="1" applyFill="1" applyBorder="1" applyAlignment="1">
      <alignment horizontal="right" vertical="center" wrapText="1"/>
    </xf>
    <xf numFmtId="0" fontId="29" fillId="12" borderId="0" xfId="14" applyFont="1" applyFill="1" applyBorder="1" applyProtection="1"/>
    <xf numFmtId="0" fontId="48" fillId="0" borderId="0" xfId="0" applyFont="1" applyFill="1"/>
    <xf numFmtId="0" fontId="48" fillId="0" borderId="9" xfId="0" applyFont="1" applyFill="1" applyBorder="1"/>
    <xf numFmtId="0" fontId="49" fillId="0" borderId="5" xfId="0" applyFont="1" applyFill="1" applyBorder="1"/>
    <xf numFmtId="3" fontId="32" fillId="12" borderId="0" xfId="14" applyNumberFormat="1" applyFont="1" applyFill="1" applyBorder="1"/>
  </cellXfs>
  <cellStyles count="28">
    <cellStyle name="Comma" xfId="27" builtinId="3"/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17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FFCCFF"/>
      <color rgb="FFEBF2F9"/>
      <color rgb="FFE5EEF7"/>
      <color rgb="FFD6E5F2"/>
      <color rgb="FF0000FF"/>
      <color rgb="FFFF6600"/>
      <color rgb="FF0033CC"/>
      <color rgb="FFFFFFCC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D13"/>
  <sheetViews>
    <sheetView showGridLines="0" tabSelected="1" zoomScale="80" zoomScaleNormal="80" workbookViewId="0"/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BIBW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">
        <v>49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9" t="s">
        <v>40</v>
      </c>
      <c r="C6" s="67"/>
      <c r="D6" s="118" t="b">
        <f>AND('Option 1'!W3, 'Option 2'!W3, 'Option 3'!W3)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66" t="s">
        <v>49</v>
      </c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74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78">
        <f>INDEX(Summary!$F$73:$J$98,MATCH($D$5&amp;F$11&amp;$E$9,Summary!$D$73:$D$98,0), MATCH(Output_UE!F$10, Summary!$F$10:$J$10,0))/1000</f>
        <v>109.419713450846</v>
      </c>
      <c r="G12" s="78">
        <f>INDEX(Summary!$F$73:$J$98,MATCH($D$5&amp;G$11&amp;$E$9,Summary!$D$73:$D$98,0), MATCH(Output_UE!G$10, Summary!$F$10:$J$10,0))/1000</f>
        <v>370.66512386888053</v>
      </c>
      <c r="H12" s="78">
        <f>INDEX(Summary!$F$73:$J$98,MATCH($D$5&amp;H$11&amp;$E$9,Summary!$D$73:$D$98,0), MATCH(Output_UE!H$10, Summary!$F$10:$J$10,0))/1000</f>
        <v>0</v>
      </c>
      <c r="I12" s="78">
        <f>INDEX(Summary!$F$73:$J$98,MATCH($D$5&amp;I$11&amp;$E$9,Summary!$D$73:$D$98,0), MATCH(Output_UE!I$10, Summary!$F$10:$J$10,0))/1000</f>
        <v>1111.4426328240827</v>
      </c>
      <c r="J12" s="78">
        <f>INDEX(Summary!$F$73:$J$98,MATCH($D$5&amp;J$11&amp;$E$9,Summary!$D$73:$D$98,0), MATCH(Output_UE!J$10, Summary!$F$10:$J$10,0))/1000</f>
        <v>0</v>
      </c>
      <c r="K12" s="78">
        <f>INDEX(Summary!$F$73:$J$98,MATCH($D$5&amp;K$11&amp;$E$9,Summary!$D$73:$D$98,0), MATCH(Output_UE!K$10, Summary!$F$10:$J$10,0))/1000</f>
        <v>0</v>
      </c>
      <c r="L12" s="78">
        <f>INDEX(Summary!$F$73:$J$98,MATCH($D$5&amp;L$11&amp;$E$9,Summary!$D$73:$D$98,0), MATCH(Output_UE!L$10, Summary!$F$10:$J$10,0))/1000</f>
        <v>452.54566269616208</v>
      </c>
      <c r="M12" s="78">
        <f>INDEX(Summary!$F$73:$J$98,MATCH($D$5&amp;M$11&amp;$E$9,Summary!$D$73:$D$98,0), MATCH(Output_UE!M$10, Summary!$F$10:$J$10,0))/1000</f>
        <v>0</v>
      </c>
      <c r="N12" s="78">
        <f>INDEX(Summary!$F$73:$J$98,MATCH($D$5&amp;N$11&amp;$E$9,Summary!$D$73:$D$98,0), MATCH(Output_UE!N$10, Summary!$F$10:$J$10,0))/1000</f>
        <v>0</v>
      </c>
      <c r="O12" s="78">
        <f>INDEX(Summary!$F$73:$J$98,MATCH($D$5&amp;O$11&amp;$E$9,Summary!$D$73:$D$98,0), MATCH(Output_UE!O$10, Summary!$F$10:$J$10,0))/1000</f>
        <v>109.419713450846</v>
      </c>
      <c r="P12" s="78">
        <f>INDEX(Summary!$F$73:$J$98,MATCH($D$5&amp;P$11&amp;$E$9,Summary!$D$73:$D$98,0), MATCH(Output_UE!P$10, Summary!$F$10:$J$10,0))/1000</f>
        <v>0</v>
      </c>
      <c r="Q12" s="78">
        <f>INDEX(Summary!$F$73:$J$98,MATCH($D$5&amp;Q$11&amp;$E$9,Summary!$D$73:$D$98,0), MATCH(Output_UE!Q$10, Summary!$F$10:$J$10,0))/1000</f>
        <v>0</v>
      </c>
      <c r="R12" s="78">
        <f>INDEX(Summary!$F$73:$J$98,MATCH($D$5&amp;R$11&amp;$E$9,Summary!$D$73:$D$98,0), MATCH(Output_UE!R$10, Summary!$F$10:$J$10,0))/1000</f>
        <v>109.419713450846</v>
      </c>
      <c r="S12" s="78">
        <f>INDEX(Summary!$F$73:$J$98,MATCH($D$5&amp;S$11&amp;$E$9,Summary!$D$73:$D$98,0), MATCH(Output_UE!S$10, Summary!$F$10:$J$10,0))/1000</f>
        <v>0</v>
      </c>
      <c r="T12" s="78">
        <f>INDEX(Summary!$F$73:$J$98,MATCH($D$5&amp;T$11&amp;$E$9,Summary!$D$73:$D$98,0), MATCH(Output_UE!T$10, Summary!$F$10:$J$10,0))/1000</f>
        <v>0</v>
      </c>
      <c r="U12" s="67"/>
      <c r="V12" s="78">
        <f>SUMIF($F$10:$T$10,V$10,$F12:$T12)</f>
        <v>480.08483731972655</v>
      </c>
      <c r="W12" s="78">
        <f>SUMIF($F$10:$T$10,W$10,$F12:$T12)</f>
        <v>1111.4426328240827</v>
      </c>
      <c r="X12" s="78">
        <f>SUMIF($F$10:$T$10,X$10,$F12:$T12)</f>
        <v>452.54566269616208</v>
      </c>
      <c r="Y12" s="78">
        <f>SUMIF($F$10:$T$10,Y$10,$F12:$T12)</f>
        <v>109.419713450846</v>
      </c>
      <c r="Z12" s="78">
        <f>SUMIF($F$10:$T$10,Z$10,$F12:$T12)</f>
        <v>109.419713450846</v>
      </c>
      <c r="AA12" s="67"/>
      <c r="AB12" s="78">
        <f>SUM(V12:Z12)</f>
        <v>2262.9125597416632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6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3"/>
  <sheetViews>
    <sheetView showGridLines="0" zoomScale="80" zoomScaleNormal="80" workbookViewId="0"/>
  </sheetViews>
  <sheetFormatPr defaultColWidth="9.140625" defaultRowHeight="18.75" x14ac:dyDescent="0.3"/>
  <cols>
    <col min="1" max="1" width="4.28515625" style="48" customWidth="1"/>
    <col min="2" max="2" width="7.85546875" style="48" customWidth="1"/>
    <col min="3" max="3" width="15.140625" style="48" customWidth="1"/>
    <col min="4" max="4" width="17.85546875" style="48" customWidth="1"/>
    <col min="5" max="9" width="10.7109375" style="48" customWidth="1"/>
    <col min="10" max="10" width="10.7109375" style="80" customWidth="1"/>
    <col min="11" max="20" width="10.7109375" style="48" customWidth="1"/>
    <col min="21" max="21" width="4" style="48" customWidth="1"/>
    <col min="22" max="26" width="10.7109375" style="48" customWidth="1"/>
    <col min="27" max="27" width="3.140625" style="48" customWidth="1"/>
    <col min="28" max="28" width="10.7109375" style="48" customWidth="1"/>
    <col min="29" max="29" width="9.140625" style="48"/>
    <col min="30" max="30" width="14.85546875" style="48" bestFit="1" customWidth="1"/>
    <col min="31" max="16384" width="9.140625" style="48"/>
  </cols>
  <sheetData>
    <row r="1" spans="1:30" ht="21" x14ac:dyDescent="0.35">
      <c r="A1" s="18" t="str">
        <f>Assumptions!A1</f>
        <v>BIBW</v>
      </c>
      <c r="B1" s="46"/>
      <c r="C1" s="46"/>
      <c r="D1" s="46"/>
      <c r="E1" s="46"/>
      <c r="F1" s="46"/>
      <c r="G1" s="46"/>
      <c r="H1" s="46"/>
      <c r="I1" s="46"/>
      <c r="J1" s="47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30" x14ac:dyDescent="0.3">
      <c r="A2" s="17" t="s">
        <v>0</v>
      </c>
      <c r="B2" s="46"/>
      <c r="C2" s="46"/>
      <c r="D2" s="46"/>
      <c r="E2" s="46"/>
      <c r="F2" s="46"/>
      <c r="G2" s="46"/>
      <c r="H2" s="46"/>
      <c r="I2" s="46"/>
      <c r="J2" s="4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</row>
    <row r="3" spans="1:30" s="51" customFormat="1" x14ac:dyDescent="0.3">
      <c r="A3" s="37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30" ht="12.75" customHeight="1" x14ac:dyDescent="0.3">
      <c r="A4" s="52"/>
      <c r="B4" s="52"/>
      <c r="C4" s="53"/>
      <c r="D4" s="53"/>
      <c r="E4" s="54"/>
      <c r="F4" s="53"/>
      <c r="G4" s="53"/>
      <c r="H4" s="54"/>
      <c r="I4" s="54"/>
      <c r="J4" s="54"/>
      <c r="K4" s="54"/>
      <c r="L4" s="54"/>
      <c r="M4" s="55"/>
      <c r="N4" s="55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30" s="2" customFormat="1" ht="12.75" customHeight="1" x14ac:dyDescent="0.2">
      <c r="A5" s="56"/>
      <c r="B5" s="57" t="s">
        <v>24</v>
      </c>
      <c r="C5" s="58"/>
      <c r="D5" s="59" t="str">
        <f>Summary!D6</f>
        <v>Option 2</v>
      </c>
      <c r="E5" s="60"/>
      <c r="F5" s="61"/>
      <c r="G5" s="61"/>
      <c r="H5" s="60"/>
      <c r="I5" s="60"/>
      <c r="J5" s="60"/>
      <c r="K5" s="60"/>
      <c r="L5" s="60"/>
      <c r="M5" s="62"/>
      <c r="N5" s="62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s="2" customFormat="1" ht="12.75" customHeight="1" x14ac:dyDescent="0.2">
      <c r="A6" s="56"/>
      <c r="B6" s="119" t="s">
        <v>40</v>
      </c>
      <c r="C6" s="67"/>
      <c r="D6" s="118" t="b">
        <f>AND('Option 1'!W3, 'Option 2'!W3, 'Option 3'!W3)</f>
        <v>1</v>
      </c>
      <c r="E6" s="60"/>
      <c r="F6" s="61"/>
      <c r="G6" s="61"/>
      <c r="H6" s="60"/>
      <c r="I6" s="60"/>
      <c r="J6" s="60"/>
      <c r="K6" s="60"/>
      <c r="L6" s="60"/>
      <c r="M6" s="62"/>
      <c r="N6" s="62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30" s="2" customFormat="1" ht="12.75" customHeight="1" x14ac:dyDescent="0.2">
      <c r="A7" s="56"/>
      <c r="B7" s="56"/>
      <c r="C7" s="56"/>
      <c r="D7" s="56"/>
      <c r="E7" s="56"/>
      <c r="F7" s="56"/>
      <c r="G7" s="61"/>
      <c r="H7" s="60"/>
      <c r="I7" s="60"/>
      <c r="J7" s="60"/>
      <c r="K7" s="60"/>
      <c r="L7" s="60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30" s="2" customFormat="1" ht="12.75" customHeight="1" x14ac:dyDescent="0.2">
      <c r="A8" s="63"/>
      <c r="B8" s="64"/>
      <c r="C8" s="61"/>
      <c r="D8" s="61"/>
      <c r="E8" s="60"/>
      <c r="F8" s="61"/>
      <c r="G8" s="61"/>
      <c r="H8" s="60"/>
      <c r="I8" s="60"/>
      <c r="J8" s="60"/>
      <c r="K8" s="60"/>
      <c r="L8" s="60"/>
      <c r="M8" s="62"/>
      <c r="N8" s="62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30" s="2" customFormat="1" ht="12.75" customHeight="1" x14ac:dyDescent="0.2">
      <c r="A9" s="65"/>
      <c r="B9" s="66" t="s">
        <v>46</v>
      </c>
      <c r="C9" s="65"/>
      <c r="D9" s="65"/>
      <c r="E9" s="159" t="s">
        <v>0</v>
      </c>
      <c r="F9" s="65"/>
      <c r="G9" s="65"/>
      <c r="H9" s="65"/>
      <c r="I9" s="65"/>
      <c r="J9" s="65"/>
      <c r="K9" s="65"/>
      <c r="L9" s="65"/>
      <c r="M9" s="65"/>
      <c r="N9" s="65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30" s="2" customFormat="1" ht="12.75" customHeight="1" x14ac:dyDescent="0.2">
      <c r="A10" s="67"/>
      <c r="B10" s="68"/>
      <c r="C10" s="69"/>
      <c r="D10" s="69"/>
      <c r="E10" s="70"/>
      <c r="F10" s="71" t="s">
        <v>16</v>
      </c>
      <c r="G10" s="71" t="str">
        <f>F10</f>
        <v>2021/22</v>
      </c>
      <c r="H10" s="70" t="str">
        <f>G10</f>
        <v>2021/22</v>
      </c>
      <c r="I10" s="71" t="s">
        <v>17</v>
      </c>
      <c r="J10" s="71" t="str">
        <f>I10</f>
        <v>2022/23</v>
      </c>
      <c r="K10" s="70" t="str">
        <f>J10</f>
        <v>2022/23</v>
      </c>
      <c r="L10" s="71" t="s">
        <v>18</v>
      </c>
      <c r="M10" s="71" t="str">
        <f>L10</f>
        <v>2023/24</v>
      </c>
      <c r="N10" s="70" t="str">
        <f>M10</f>
        <v>2023/24</v>
      </c>
      <c r="O10" s="71" t="s">
        <v>19</v>
      </c>
      <c r="P10" s="71" t="str">
        <f>O10</f>
        <v>2024/25</v>
      </c>
      <c r="Q10" s="70" t="str">
        <f>P10</f>
        <v>2024/25</v>
      </c>
      <c r="R10" s="71" t="s">
        <v>20</v>
      </c>
      <c r="S10" s="71" t="str">
        <f>R10</f>
        <v>2025/26</v>
      </c>
      <c r="T10" s="70" t="str">
        <f>S10</f>
        <v>2025/26</v>
      </c>
      <c r="U10" s="67"/>
      <c r="V10" s="71" t="str">
        <f>F10</f>
        <v>2021/22</v>
      </c>
      <c r="W10" s="71" t="str">
        <f>I10</f>
        <v>2022/23</v>
      </c>
      <c r="X10" s="71" t="str">
        <f>L10</f>
        <v>2023/24</v>
      </c>
      <c r="Y10" s="71" t="str">
        <f>O10</f>
        <v>2024/25</v>
      </c>
      <c r="Z10" s="71" t="str">
        <f>R10</f>
        <v>2025/26</v>
      </c>
      <c r="AA10" s="67"/>
      <c r="AB10" s="71" t="s">
        <v>25</v>
      </c>
    </row>
    <row r="11" spans="1:30" s="2" customFormat="1" ht="12.75" customHeight="1" x14ac:dyDescent="0.2">
      <c r="A11" s="67"/>
      <c r="B11" s="72" t="s">
        <v>26</v>
      </c>
      <c r="C11" s="72" t="s">
        <v>27</v>
      </c>
      <c r="D11" s="72"/>
      <c r="E11" s="73"/>
      <c r="F11" s="158" t="s">
        <v>2</v>
      </c>
      <c r="G11" s="74" t="s">
        <v>1</v>
      </c>
      <c r="H11" s="73" t="s">
        <v>4</v>
      </c>
      <c r="I11" s="74" t="s">
        <v>2</v>
      </c>
      <c r="J11" s="74" t="s">
        <v>1</v>
      </c>
      <c r="K11" s="73" t="s">
        <v>4</v>
      </c>
      <c r="L11" s="74" t="s">
        <v>2</v>
      </c>
      <c r="M11" s="74" t="s">
        <v>1</v>
      </c>
      <c r="N11" s="73" t="s">
        <v>4</v>
      </c>
      <c r="O11" s="74" t="s">
        <v>2</v>
      </c>
      <c r="P11" s="74" t="s">
        <v>1</v>
      </c>
      <c r="Q11" s="73" t="s">
        <v>4</v>
      </c>
      <c r="R11" s="75" t="s">
        <v>2</v>
      </c>
      <c r="S11" s="75" t="s">
        <v>1</v>
      </c>
      <c r="T11" s="75" t="s">
        <v>4</v>
      </c>
      <c r="U11" s="67"/>
      <c r="V11" s="75"/>
      <c r="W11" s="75"/>
      <c r="X11" s="75"/>
      <c r="Y11" s="75"/>
      <c r="Z11" s="75"/>
      <c r="AA11" s="67"/>
      <c r="AB11" s="75"/>
    </row>
    <row r="12" spans="1:30" s="2" customFormat="1" ht="12.75" customHeight="1" x14ac:dyDescent="0.2">
      <c r="A12" s="67"/>
      <c r="B12" s="76">
        <v>200</v>
      </c>
      <c r="C12" s="77" t="s">
        <v>28</v>
      </c>
      <c r="D12" s="77"/>
      <c r="E12" s="77"/>
      <c r="F12" s="163">
        <f>INDEX(Summary!$F$73:$J$98,MATCH($D$5&amp;F$11&amp;$E$9,Summary!$D$73:$D$98,0), MATCH(Output_VPN!F$10, Summary!$F$10:$J$10,0))/1000</f>
        <v>188.23497144797557</v>
      </c>
      <c r="G12" s="78">
        <f>INDEX(Summary!$F$73:$J$98,MATCH($D$5&amp;G$11&amp;$E$9,Summary!$D$73:$D$98,0), MATCH(Output_VPN!G$10, Summary!$F$10:$J$10,0))/1000</f>
        <v>0</v>
      </c>
      <c r="H12" s="78">
        <f>INDEX(Summary!$F$73:$J$98,MATCH($D$5&amp;H$11&amp;$E$9,Summary!$D$73:$D$98,0), MATCH(Output_VPN!H$10, Summary!$F$10:$J$10,0))/1000</f>
        <v>0</v>
      </c>
      <c r="I12" s="78">
        <f>INDEX(Summary!$F$73:$J$98,MATCH($D$5&amp;I$11&amp;$E$9,Summary!$D$73:$D$98,0), MATCH(Output_VPN!I$10, Summary!$F$10:$J$10,0))/1000</f>
        <v>1912.0171828057955</v>
      </c>
      <c r="J12" s="78">
        <f>INDEX(Summary!$F$73:$J$98,MATCH($D$5&amp;J$11&amp;$E$9,Summary!$D$73:$D$98,0), MATCH(Output_VPN!J$10, Summary!$F$10:$J$10,0))/1000</f>
        <v>370.66512386888053</v>
      </c>
      <c r="K12" s="78">
        <f>INDEX(Summary!$F$73:$J$98,MATCH($D$5&amp;K$11&amp;$E$9,Summary!$D$73:$D$98,0), MATCH(Output_VPN!K$10, Summary!$F$10:$J$10,0))/1000</f>
        <v>0</v>
      </c>
      <c r="L12" s="78">
        <f>INDEX(Summary!$F$73:$J$98,MATCH($D$5&amp;L$11&amp;$E$9,Summary!$D$73:$D$98,0), MATCH(Output_VPN!L$10, Summary!$F$10:$J$10,0))/1000</f>
        <v>778.51528952124693</v>
      </c>
      <c r="M12" s="78">
        <f>INDEX(Summary!$F$73:$J$98,MATCH($D$5&amp;M$11&amp;$E$9,Summary!$D$73:$D$98,0), MATCH(Output_VPN!M$10, Summary!$F$10:$J$10,0))/1000</f>
        <v>0</v>
      </c>
      <c r="N12" s="78">
        <f>INDEX(Summary!$F$73:$J$98,MATCH($D$5&amp;N$11&amp;$E$9,Summary!$D$73:$D$98,0), MATCH(Output_VPN!N$10, Summary!$F$10:$J$10,0))/1000</f>
        <v>0</v>
      </c>
      <c r="O12" s="78">
        <f>INDEX(Summary!$F$73:$J$98,MATCH($D$5&amp;O$11&amp;$E$9,Summary!$D$73:$D$98,0), MATCH(Output_VPN!O$10, Summary!$F$10:$J$10,0))/1000</f>
        <v>188.23497144797557</v>
      </c>
      <c r="P12" s="78">
        <f>INDEX(Summary!$F$73:$J$98,MATCH($D$5&amp;P$11&amp;$E$9,Summary!$D$73:$D$98,0), MATCH(Output_VPN!P$10, Summary!$F$10:$J$10,0))/1000</f>
        <v>0</v>
      </c>
      <c r="Q12" s="78">
        <f>INDEX(Summary!$F$73:$J$98,MATCH($D$5&amp;Q$11&amp;$E$9,Summary!$D$73:$D$98,0), MATCH(Output_VPN!Q$10, Summary!$F$10:$J$10,0))/1000</f>
        <v>0</v>
      </c>
      <c r="R12" s="78">
        <f>INDEX(Summary!$F$73:$J$98,MATCH($D$5&amp;R$11&amp;$E$9,Summary!$D$73:$D$98,0), MATCH(Output_VPN!R$10, Summary!$F$10:$J$10,0))/1000</f>
        <v>188.23497144797557</v>
      </c>
      <c r="S12" s="78">
        <f>INDEX(Summary!$F$73:$J$98,MATCH($D$5&amp;S$11&amp;$E$9,Summary!$D$73:$D$98,0), MATCH(Output_VPN!S$10, Summary!$F$10:$J$10,0))/1000</f>
        <v>0</v>
      </c>
      <c r="T12" s="78">
        <f>INDEX(Summary!$F$73:$J$98,MATCH($D$5&amp;T$11&amp;$E$9,Summary!$D$73:$D$98,0), MATCH(Output_VPN!T$10, Summary!$F$10:$J$10,0))/1000</f>
        <v>0</v>
      </c>
      <c r="U12" s="67"/>
      <c r="V12" s="78">
        <f>SUMIF($F$10:$T$10,V$10,$F12:$T12)</f>
        <v>188.23497144797557</v>
      </c>
      <c r="W12" s="78">
        <f>SUMIF($F$10:$T$10,W$10,$F12:$T12)</f>
        <v>2282.6823066746761</v>
      </c>
      <c r="X12" s="78">
        <f>SUMIF($F$10:$T$10,X$10,$F12:$T12)</f>
        <v>778.51528952124693</v>
      </c>
      <c r="Y12" s="78">
        <f>SUMIF($F$10:$T$10,Y$10,$F12:$T12)</f>
        <v>188.23497144797557</v>
      </c>
      <c r="Z12" s="78">
        <f>SUMIF($F$10:$T$10,Z$10,$F12:$T12)</f>
        <v>188.23497144797557</v>
      </c>
      <c r="AA12" s="67"/>
      <c r="AB12" s="78">
        <f>SUM(V12:Z12)</f>
        <v>3625.9025105398496</v>
      </c>
    </row>
    <row r="13" spans="1:30" s="2" customFormat="1" ht="12.75" customHeight="1" x14ac:dyDescent="0.2">
      <c r="A13" s="67"/>
      <c r="B13" s="76"/>
      <c r="C13" s="77"/>
      <c r="D13" s="77"/>
      <c r="E13" s="77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67"/>
      <c r="V13" s="78"/>
      <c r="W13" s="78"/>
      <c r="X13" s="78"/>
      <c r="Y13" s="78"/>
      <c r="Z13" s="78"/>
      <c r="AA13" s="67"/>
      <c r="AB13" s="78"/>
      <c r="AD13" s="79"/>
    </row>
  </sheetData>
  <conditionalFormatting sqref="D6">
    <cfRule type="expression" dxfId="1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108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15" style="1" bestFit="1" customWidth="1"/>
    <col min="3" max="3" width="15.28515625" style="1" customWidth="1"/>
    <col min="4" max="4" width="13.85546875" style="100" customWidth="1"/>
    <col min="5" max="5" width="6.85546875" style="1" customWidth="1"/>
    <col min="6" max="10" width="12.42578125" style="1" customWidth="1"/>
    <col min="11" max="11" width="11.28515625" style="1" bestFit="1" customWidth="1"/>
    <col min="12" max="13" width="12.7109375" style="1" bestFit="1" customWidth="1"/>
    <col min="14" max="15" width="11.28515625" style="1" bestFit="1" customWidth="1"/>
    <col min="16" max="16384" width="9.140625" style="1"/>
  </cols>
  <sheetData>
    <row r="1" spans="1:16" ht="21" x14ac:dyDescent="0.35">
      <c r="A1" s="18" t="str">
        <f>Assumptions!A1</f>
        <v>BIBW</v>
      </c>
      <c r="B1" s="18"/>
      <c r="C1" s="15"/>
      <c r="D1" s="15"/>
      <c r="E1" s="15"/>
      <c r="F1" s="15"/>
      <c r="G1" s="15"/>
      <c r="H1" s="15"/>
      <c r="I1" s="15"/>
      <c r="J1" s="15"/>
    </row>
    <row r="2" spans="1:1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5"/>
      <c r="J2" s="15"/>
    </row>
    <row r="3" spans="1:16" s="22" customFormat="1" ht="15.75" x14ac:dyDescent="0.25">
      <c r="A3" s="37" t="s">
        <v>47</v>
      </c>
      <c r="B3" s="35"/>
      <c r="C3" s="36"/>
      <c r="D3" s="36"/>
      <c r="E3" s="36"/>
      <c r="F3" s="36"/>
      <c r="G3" s="36"/>
      <c r="H3" s="36"/>
      <c r="I3" s="36"/>
      <c r="J3" s="36"/>
    </row>
    <row r="4" spans="1:16" ht="12.75" customHeight="1" x14ac:dyDescent="0.2">
      <c r="E4" s="3"/>
    </row>
    <row r="5" spans="1:16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</row>
    <row r="6" spans="1:16" ht="12.75" customHeight="1" x14ac:dyDescent="0.2">
      <c r="B6" s="42" t="s">
        <v>22</v>
      </c>
      <c r="D6" s="43" t="s">
        <v>21</v>
      </c>
      <c r="E6" s="3"/>
    </row>
    <row r="7" spans="1:16" ht="12.75" customHeight="1" x14ac:dyDescent="0.2">
      <c r="B7" s="119" t="s">
        <v>40</v>
      </c>
      <c r="D7" s="118" t="b">
        <f>Output_VPN!D6</f>
        <v>1</v>
      </c>
      <c r="E7" s="3"/>
    </row>
    <row r="8" spans="1:16" ht="12.75" customHeight="1" x14ac:dyDescent="0.2">
      <c r="E8" s="3"/>
    </row>
    <row r="9" spans="1:16" ht="12.75" customHeight="1" x14ac:dyDescent="0.2">
      <c r="E9" s="3"/>
    </row>
    <row r="10" spans="1:16" ht="12.75" customHeight="1" x14ac:dyDescent="0.2">
      <c r="B10" s="82" t="s">
        <v>29</v>
      </c>
      <c r="C10" s="82" t="s">
        <v>9</v>
      </c>
      <c r="D10" s="82"/>
      <c r="E10" s="83"/>
      <c r="F10" s="84" t="s">
        <v>16</v>
      </c>
      <c r="G10" s="84" t="s">
        <v>17</v>
      </c>
      <c r="H10" s="84" t="s">
        <v>18</v>
      </c>
      <c r="I10" s="84" t="s">
        <v>19</v>
      </c>
      <c r="J10" s="84" t="s">
        <v>20</v>
      </c>
      <c r="L10" s="100"/>
      <c r="M10" s="100"/>
      <c r="N10" s="100"/>
      <c r="O10" s="100"/>
      <c r="P10" s="100"/>
    </row>
    <row r="11" spans="1:16" ht="12.75" customHeight="1" x14ac:dyDescent="0.2">
      <c r="C11" s="1" t="s">
        <v>2</v>
      </c>
      <c r="D11" s="121" t="str">
        <f>B10&amp;C11</f>
        <v>Option 1Labour</v>
      </c>
      <c r="E11" s="3"/>
      <c r="F11" s="9">
        <f>SUMPRODUCT((years=Summary!F$10)*(Option1_categories=Summary!$C11)*(Option1_costs))*Conv_2021</f>
        <v>3558914.7107467796</v>
      </c>
      <c r="G11" s="9">
        <f>SUMPRODUCT((years=Summary!G$10)*(Option1_categories=Summary!$C11)*(Option1_costs))*Conv_2021</f>
        <v>1164735.7235171278</v>
      </c>
      <c r="H11" s="9">
        <f>SUMPRODUCT((years=Summary!H$10)*(Option1_categories=Summary!$C11)*(Option1_costs))*Conv_2021</f>
        <v>0</v>
      </c>
      <c r="I11" s="9">
        <f>SUMPRODUCT((years=Summary!I$10)*(Option1_categories=Summary!$C11)*(Option1_costs))*Conv_2021</f>
        <v>0</v>
      </c>
      <c r="J11" s="9">
        <f>SUMPRODUCT((years=Summary!J$10)*(Option1_categories=Summary!$C11)*(Option1_costs))*Conv_2021</f>
        <v>517660.32156316796</v>
      </c>
      <c r="L11" s="100"/>
      <c r="M11" s="100"/>
      <c r="N11" s="100"/>
      <c r="O11" s="100"/>
      <c r="P11" s="100"/>
    </row>
    <row r="12" spans="1:16" ht="12.75" customHeight="1" x14ac:dyDescent="0.2">
      <c r="C12" s="1" t="s">
        <v>1</v>
      </c>
      <c r="D12" s="121" t="str">
        <f>B10&amp;C12</f>
        <v>Option 1Materials</v>
      </c>
      <c r="E12" s="3"/>
      <c r="F12" s="9">
        <f>SUMPRODUCT((years=Summary!F$10)*(Option1_categories=Summary!$C12)*(Option1_costs))*Conv_2021</f>
        <v>0</v>
      </c>
      <c r="G12" s="9">
        <f>SUMPRODUCT((years=Summary!G$10)*(Option1_categories=Summary!$C12)*(Option1_costs))*Conv_2021</f>
        <v>0</v>
      </c>
      <c r="H12" s="9">
        <f>SUMPRODUCT((years=Summary!H$10)*(Option1_categories=Summary!$C12)*(Option1_costs))*Conv_2021</f>
        <v>0</v>
      </c>
      <c r="I12" s="9">
        <f>SUMPRODUCT((years=Summary!I$10)*(Option1_categories=Summary!$C12)*(Option1_costs))*Conv_2021</f>
        <v>1588564.8165809165</v>
      </c>
      <c r="J12" s="9">
        <f>SUMPRODUCT((years=Summary!J$10)*(Option1_categories=Summary!$C12)*(Option1_costs))*Conv_2021</f>
        <v>0</v>
      </c>
      <c r="L12" s="100"/>
      <c r="M12" s="100"/>
      <c r="N12" s="100"/>
      <c r="O12" s="100"/>
      <c r="P12" s="100"/>
    </row>
    <row r="13" spans="1:16" ht="12.75" customHeight="1" x14ac:dyDescent="0.2">
      <c r="C13" s="1" t="s">
        <v>4</v>
      </c>
      <c r="D13" s="121" t="str">
        <f>B10&amp;C13</f>
        <v>Option 1Contracts</v>
      </c>
      <c r="F13" s="9">
        <f>SUMPRODUCT((years=Summary!F$10)*(Option1_categories=Summary!$C13)*(Option1_costs))*Conv_2021</f>
        <v>0</v>
      </c>
      <c r="G13" s="9">
        <f>SUMPRODUCT((years=Summary!G$10)*(Option1_categories=Summary!$C13)*(Option1_costs))*Conv_2021</f>
        <v>0</v>
      </c>
      <c r="H13" s="9">
        <f>SUMPRODUCT((years=Summary!H$10)*(Option1_categories=Summary!$C13)*(Option1_costs))*Conv_2021</f>
        <v>0</v>
      </c>
      <c r="I13" s="9">
        <f>SUMPRODUCT((years=Summary!I$10)*(Option1_categories=Summary!$C13)*(Option1_costs))*Conv_2021</f>
        <v>0</v>
      </c>
      <c r="J13" s="9">
        <f>SUMPRODUCT((years=Summary!J$10)*(Option1_categories=Summary!$C13)*(Option1_costs))*Conv_2021</f>
        <v>0</v>
      </c>
      <c r="L13" s="100"/>
      <c r="M13" s="100"/>
      <c r="N13" s="100"/>
      <c r="O13" s="100"/>
      <c r="P13" s="100"/>
    </row>
    <row r="14" spans="1:16" ht="12.75" customHeight="1" x14ac:dyDescent="0.2">
      <c r="B14" s="100"/>
      <c r="C14" s="25" t="s">
        <v>48</v>
      </c>
      <c r="D14" s="25"/>
      <c r="E14" s="25"/>
      <c r="F14" s="26">
        <f t="shared" ref="F14:J14" si="0">SUM(F11:F13)</f>
        <v>3558914.7107467796</v>
      </c>
      <c r="G14" s="26">
        <f t="shared" si="0"/>
        <v>1164735.7235171278</v>
      </c>
      <c r="H14" s="26">
        <f t="shared" si="0"/>
        <v>0</v>
      </c>
      <c r="I14" s="26">
        <f t="shared" si="0"/>
        <v>1588564.8165809165</v>
      </c>
      <c r="J14" s="26">
        <f t="shared" si="0"/>
        <v>517660.32156316796</v>
      </c>
      <c r="K14" s="2"/>
      <c r="L14" s="100"/>
      <c r="M14" s="100"/>
      <c r="N14" s="100"/>
      <c r="O14" s="100"/>
      <c r="P14" s="100"/>
    </row>
    <row r="15" spans="1:16" ht="12.75" customHeight="1" x14ac:dyDescent="0.2">
      <c r="B15" s="100"/>
      <c r="C15" s="7"/>
      <c r="D15" s="7"/>
      <c r="E15" s="7"/>
      <c r="F15" s="81"/>
      <c r="G15" s="81"/>
      <c r="H15" s="81"/>
      <c r="I15" s="81"/>
      <c r="J15" s="81"/>
      <c r="L15" s="100"/>
      <c r="M15" s="100"/>
      <c r="N15" s="100"/>
      <c r="O15" s="100"/>
      <c r="P15" s="100"/>
    </row>
    <row r="16" spans="1:16" ht="12.75" customHeight="1" x14ac:dyDescent="0.2">
      <c r="C16" s="125" t="s">
        <v>54</v>
      </c>
      <c r="D16" s="26"/>
      <c r="E16" s="26"/>
      <c r="F16" s="26">
        <f>NPV(Assumptions!$B$6,Summary!F14:J14)</f>
        <v>6444091.1366170319</v>
      </c>
      <c r="G16" s="81"/>
      <c r="H16" s="81"/>
      <c r="I16" s="157"/>
      <c r="J16" s="138"/>
    </row>
    <row r="17" spans="2:15" ht="12.75" customHeight="1" x14ac:dyDescent="0.2">
      <c r="C17" s="41"/>
      <c r="D17" s="41"/>
      <c r="E17" s="7"/>
      <c r="F17" s="81"/>
      <c r="G17" s="81"/>
      <c r="H17" s="81"/>
      <c r="I17" s="81"/>
      <c r="J17" s="81"/>
    </row>
    <row r="18" spans="2:15" ht="12.75" customHeight="1" x14ac:dyDescent="0.2">
      <c r="B18" s="7"/>
      <c r="C18" s="7"/>
      <c r="D18" s="7"/>
      <c r="E18" s="7"/>
      <c r="F18" s="27"/>
      <c r="G18" s="27"/>
      <c r="H18" s="27"/>
      <c r="I18" s="27"/>
      <c r="J18" s="27"/>
    </row>
    <row r="19" spans="2:15" ht="12.75" customHeight="1" x14ac:dyDescent="0.2">
      <c r="B19" s="82" t="s">
        <v>21</v>
      </c>
      <c r="C19" s="82" t="s">
        <v>9</v>
      </c>
      <c r="D19" s="82"/>
      <c r="E19" s="83"/>
      <c r="F19" s="84" t="str">
        <f>F$10</f>
        <v>2021/22</v>
      </c>
      <c r="G19" s="84" t="str">
        <f t="shared" ref="G19:J19" si="1">G$10</f>
        <v>2022/23</v>
      </c>
      <c r="H19" s="84" t="str">
        <f t="shared" si="1"/>
        <v>2023/24</v>
      </c>
      <c r="I19" s="84" t="str">
        <f t="shared" si="1"/>
        <v>2024/25</v>
      </c>
      <c r="J19" s="84" t="str">
        <f t="shared" si="1"/>
        <v>2025/26</v>
      </c>
    </row>
    <row r="20" spans="2:15" ht="12.75" customHeight="1" x14ac:dyDescent="0.2">
      <c r="C20" s="1" t="s">
        <v>2</v>
      </c>
      <c r="D20" s="121" t="str">
        <f>B19&amp;C20</f>
        <v>Option 2Labour</v>
      </c>
      <c r="E20" s="3"/>
      <c r="F20" s="9">
        <f>SUMPRODUCT((years=Summary!F$10)*(Option2_categories=Summary!$C20)*(Option2_costs))*Conv_2021</f>
        <v>297654.68489882158</v>
      </c>
      <c r="G20" s="9">
        <f>SUMPRODUCT((years=Summary!G$10)*(Option2_categories=Summary!$C20)*(Option2_costs))*Conv_2021</f>
        <v>3023459.8156298781</v>
      </c>
      <c r="H20" s="9">
        <f>SUMPRODUCT((years=Summary!H$10)*(Option2_categories=Summary!$C20)*(Option2_costs))*Conv_2021</f>
        <v>1231060.9522174089</v>
      </c>
      <c r="I20" s="9">
        <f>SUMPRODUCT((years=Summary!I$10)*(Option2_categories=Summary!$C20)*(Option2_costs))*Conv_2021</f>
        <v>297654.68489882158</v>
      </c>
      <c r="J20" s="9">
        <f>SUMPRODUCT((years=Summary!J$10)*(Option2_categories=Summary!$C20)*(Option2_costs))*Conv_2021</f>
        <v>297654.68489882158</v>
      </c>
      <c r="K20" s="137"/>
      <c r="L20" s="137"/>
      <c r="M20" s="137"/>
      <c r="N20" s="137"/>
      <c r="O20" s="137"/>
    </row>
    <row r="21" spans="2:15" x14ac:dyDescent="0.2">
      <c r="C21" s="1" t="s">
        <v>1</v>
      </c>
      <c r="D21" s="121" t="str">
        <f>B19&amp;C21</f>
        <v>Option 2Materials</v>
      </c>
      <c r="E21" s="3"/>
      <c r="F21" s="9">
        <f>SUMPRODUCT((years=Summary!F$10)*(Option2_categories=Summary!$C21)*(Option2_costs))*Conv_2021</f>
        <v>370665.1238688805</v>
      </c>
      <c r="G21" s="9">
        <f>SUMPRODUCT((years=Summary!G$10)*(Option2_categories=Summary!$C21)*(Option2_costs))*Conv_2021</f>
        <v>370665.1238688805</v>
      </c>
      <c r="H21" s="9">
        <f>SUMPRODUCT((years=Summary!H$10)*(Option2_categories=Summary!$C21)*(Option2_costs))*Conv_2021</f>
        <v>0</v>
      </c>
      <c r="I21" s="9">
        <f>SUMPRODUCT((years=Summary!I$10)*(Option2_categories=Summary!$C21)*(Option2_costs))*Conv_2021</f>
        <v>0</v>
      </c>
      <c r="J21" s="9">
        <f>SUMPRODUCT((years=Summary!J$10)*(Option2_categories=Summary!$C21)*(Option2_costs))*Conv_2021</f>
        <v>0</v>
      </c>
      <c r="K21" s="137"/>
      <c r="L21" s="137"/>
      <c r="M21" s="137"/>
      <c r="N21" s="137"/>
      <c r="O21" s="137"/>
    </row>
    <row r="22" spans="2:15" x14ac:dyDescent="0.2">
      <c r="C22" s="1" t="s">
        <v>4</v>
      </c>
      <c r="D22" s="121" t="str">
        <f>B19&amp;C22</f>
        <v>Option 2Contracts</v>
      </c>
      <c r="F22" s="9">
        <f>SUMPRODUCT((years=Summary!F$10)*(Option2_categories=Summary!$C22)*(Option2_costs))*Conv_2021</f>
        <v>0</v>
      </c>
      <c r="G22" s="9">
        <f>SUMPRODUCT((years=Summary!G$10)*(Option2_categories=Summary!$C22)*(Option2_costs))*Conv_2021</f>
        <v>0</v>
      </c>
      <c r="H22" s="9">
        <f>SUMPRODUCT((years=Summary!H$10)*(Option2_categories=Summary!$C22)*(Option2_costs))*Conv_2021</f>
        <v>0</v>
      </c>
      <c r="I22" s="9">
        <f>SUMPRODUCT((years=Summary!I$10)*(Option2_categories=Summary!$C22)*(Option2_costs))*Conv_2021</f>
        <v>0</v>
      </c>
      <c r="J22" s="9">
        <f>SUMPRODUCT((years=Summary!J$10)*(Option2_categories=Summary!$C22)*(Option2_costs))*Conv_2021</f>
        <v>0</v>
      </c>
      <c r="K22" s="137"/>
      <c r="L22" s="137"/>
      <c r="M22" s="137"/>
      <c r="N22" s="137"/>
      <c r="O22" s="137"/>
    </row>
    <row r="23" spans="2:15" x14ac:dyDescent="0.2">
      <c r="B23" s="100"/>
      <c r="C23" s="25" t="s">
        <v>48</v>
      </c>
      <c r="D23" s="25"/>
      <c r="E23" s="25"/>
      <c r="F23" s="26">
        <f t="shared" ref="F23:J23" si="2">SUM(F20:F22)</f>
        <v>668319.80876770208</v>
      </c>
      <c r="G23" s="26">
        <f t="shared" si="2"/>
        <v>3394124.9394987584</v>
      </c>
      <c r="H23" s="26">
        <f t="shared" si="2"/>
        <v>1231060.9522174089</v>
      </c>
      <c r="I23" s="26">
        <f t="shared" si="2"/>
        <v>297654.68489882158</v>
      </c>
      <c r="J23" s="26">
        <f t="shared" si="2"/>
        <v>297654.68489882158</v>
      </c>
    </row>
    <row r="24" spans="2:15" x14ac:dyDescent="0.2">
      <c r="B24" s="100"/>
    </row>
    <row r="25" spans="2:15" x14ac:dyDescent="0.2">
      <c r="C25" s="125" t="s">
        <v>54</v>
      </c>
      <c r="D25" s="26"/>
      <c r="E25" s="26"/>
      <c r="F25" s="26">
        <f>NPV(Assumptions!$B$6,Summary!F23:J23)</f>
        <v>5527090.9107073722</v>
      </c>
      <c r="H25" s="157"/>
      <c r="I25" s="157"/>
      <c r="J25" s="138"/>
    </row>
    <row r="26" spans="2:15" x14ac:dyDescent="0.2">
      <c r="B26" s="32"/>
      <c r="C26" s="41"/>
      <c r="D26" s="41"/>
      <c r="E26" s="32"/>
      <c r="F26" s="32"/>
      <c r="G26" s="32"/>
      <c r="H26" s="32"/>
      <c r="I26" s="32"/>
      <c r="J26" s="32"/>
    </row>
    <row r="28" spans="2:15" x14ac:dyDescent="0.2">
      <c r="B28" s="82" t="s">
        <v>50</v>
      </c>
      <c r="C28" s="82" t="s">
        <v>9</v>
      </c>
      <c r="D28" s="82"/>
      <c r="E28" s="83"/>
      <c r="F28" s="84" t="str">
        <f>F$10</f>
        <v>2021/22</v>
      </c>
      <c r="G28" s="84" t="str">
        <f t="shared" ref="G28:J28" si="3">G$10</f>
        <v>2022/23</v>
      </c>
      <c r="H28" s="84" t="str">
        <f t="shared" si="3"/>
        <v>2023/24</v>
      </c>
      <c r="I28" s="84" t="str">
        <f t="shared" si="3"/>
        <v>2024/25</v>
      </c>
      <c r="J28" s="84" t="str">
        <f t="shared" si="3"/>
        <v>2025/26</v>
      </c>
    </row>
    <row r="29" spans="2:15" x14ac:dyDescent="0.2">
      <c r="C29" s="1" t="s">
        <v>2</v>
      </c>
      <c r="D29" s="121" t="str">
        <f>B28&amp;C29</f>
        <v>Option 3Labour</v>
      </c>
      <c r="E29" s="3"/>
      <c r="F29" s="9">
        <f>SUMPRODUCT((years=Summary!F$10)*(Option3_categories=Summary!$C29)*(Option3_costs))*Conv_2021</f>
        <v>297654.68489882158</v>
      </c>
      <c r="G29" s="9">
        <f>SUMPRODUCT((years=Summary!G$10)*(Option3_categories=Summary!$C29)*(Option3_costs))*Conv_2021</f>
        <v>2821248.7525192653</v>
      </c>
      <c r="H29" s="9">
        <f>SUMPRODUCT((years=Summary!H$10)*(Option3_categories=Summary!$C29)*(Option3_costs))*Conv_2021</f>
        <v>1410624.3762596326</v>
      </c>
      <c r="I29" s="9">
        <f>SUMPRODUCT((years=Summary!I$10)*(Option3_categories=Summary!$C29)*(Option3_costs))*Conv_2021</f>
        <v>297654.68489882158</v>
      </c>
      <c r="J29" s="9">
        <f>SUMPRODUCT((years=Summary!J$10)*(Option3_categories=Summary!$C29)*(Option3_costs))*Conv_2021</f>
        <v>297654.68489882158</v>
      </c>
    </row>
    <row r="30" spans="2:15" x14ac:dyDescent="0.2">
      <c r="C30" s="1" t="s">
        <v>1</v>
      </c>
      <c r="D30" s="121" t="str">
        <f>B28&amp;C30</f>
        <v>Option 3Materials</v>
      </c>
      <c r="E30" s="3"/>
      <c r="F30" s="9">
        <f>SUMPRODUCT((years=Summary!F$10)*(Option3_categories=Summary!$C30)*(Option3_costs))*Conv_2021</f>
        <v>0</v>
      </c>
      <c r="G30" s="9">
        <f>SUMPRODUCT((years=Summary!G$10)*(Option3_categories=Summary!$C30)*(Option3_costs))*Conv_2021</f>
        <v>3203605.7134381817</v>
      </c>
      <c r="H30" s="9">
        <f>SUMPRODUCT((years=Summary!H$10)*(Option3_categories=Summary!$C30)*(Option3_costs))*Conv_2021</f>
        <v>0</v>
      </c>
      <c r="I30" s="9">
        <f>SUMPRODUCT((years=Summary!I$10)*(Option3_categories=Summary!$C30)*(Option3_costs))*Conv_2021</f>
        <v>0</v>
      </c>
      <c r="J30" s="9">
        <f>SUMPRODUCT((years=Summary!J$10)*(Option3_categories=Summary!$C30)*(Option3_costs))*Conv_2021</f>
        <v>0</v>
      </c>
    </row>
    <row r="31" spans="2:15" x14ac:dyDescent="0.2">
      <c r="C31" s="1" t="s">
        <v>4</v>
      </c>
      <c r="D31" s="121" t="str">
        <f>B28&amp;C31</f>
        <v>Option 3Contracts</v>
      </c>
      <c r="F31" s="9">
        <f>SUMPRODUCT((years=Summary!F$10)*(Option3_categories=Summary!$C31)*(Option3_costs))*Conv_2021</f>
        <v>0</v>
      </c>
      <c r="G31" s="9">
        <f>SUMPRODUCT((years=Summary!G$10)*(Option3_categories=Summary!$C31)*(Option3_costs))*Conv_2021</f>
        <v>0</v>
      </c>
      <c r="H31" s="9">
        <f>SUMPRODUCT((years=Summary!H$10)*(Option3_categories=Summary!$C31)*(Option3_costs))*Conv_2021</f>
        <v>0</v>
      </c>
      <c r="I31" s="9">
        <f>SUMPRODUCT((years=Summary!I$10)*(Option3_categories=Summary!$C31)*(Option3_costs))*Conv_2021</f>
        <v>0</v>
      </c>
      <c r="J31" s="9">
        <f>SUMPRODUCT((years=Summary!J$10)*(Option3_categories=Summary!$C31)*(Option3_costs))*Conv_2021</f>
        <v>0</v>
      </c>
    </row>
    <row r="32" spans="2:15" x14ac:dyDescent="0.2">
      <c r="B32" s="100"/>
      <c r="C32" s="25" t="s">
        <v>48</v>
      </c>
      <c r="D32" s="25"/>
      <c r="E32" s="25"/>
      <c r="F32" s="26">
        <f t="shared" ref="F32:J32" si="4">SUM(F29:F31)</f>
        <v>297654.68489882158</v>
      </c>
      <c r="G32" s="26">
        <f t="shared" si="4"/>
        <v>6024854.465957447</v>
      </c>
      <c r="H32" s="26">
        <f t="shared" si="4"/>
        <v>1410624.3762596326</v>
      </c>
      <c r="I32" s="26">
        <f t="shared" si="4"/>
        <v>297654.68489882158</v>
      </c>
      <c r="J32" s="26">
        <f t="shared" si="4"/>
        <v>297654.68489882158</v>
      </c>
    </row>
    <row r="33" spans="1:10" x14ac:dyDescent="0.2">
      <c r="B33" s="100"/>
    </row>
    <row r="34" spans="1:10" x14ac:dyDescent="0.2">
      <c r="B34" s="32"/>
      <c r="C34" s="125" t="s">
        <v>54</v>
      </c>
      <c r="D34" s="26"/>
      <c r="E34" s="26"/>
      <c r="F34" s="26">
        <f>NPV(Assumptions!$B$6,Summary!F32:J32)</f>
        <v>7823670.9233685778</v>
      </c>
      <c r="G34" s="32"/>
      <c r="H34" s="81"/>
      <c r="I34" s="157"/>
      <c r="J34" s="138"/>
    </row>
    <row r="37" spans="1:10" ht="15.75" x14ac:dyDescent="0.25">
      <c r="A37" s="37" t="s">
        <v>56</v>
      </c>
      <c r="B37" s="35"/>
      <c r="C37" s="36"/>
      <c r="D37" s="36"/>
      <c r="E37" s="36"/>
      <c r="F37" s="36"/>
      <c r="G37" s="36"/>
      <c r="H37" s="36"/>
      <c r="I37" s="36"/>
      <c r="J37" s="36"/>
    </row>
    <row r="38" spans="1:10" x14ac:dyDescent="0.2">
      <c r="D38" s="1"/>
    </row>
    <row r="39" spans="1:10" s="100" customFormat="1" x14ac:dyDescent="0.2"/>
    <row r="40" spans="1:10" x14ac:dyDescent="0.2">
      <c r="B40" s="82" t="str">
        <f>B10</f>
        <v>Option 1</v>
      </c>
      <c r="C40" s="82"/>
      <c r="D40" s="82"/>
      <c r="E40" s="83"/>
      <c r="F40" s="84" t="str">
        <f>F$10</f>
        <v>2021/22</v>
      </c>
      <c r="G40" s="84" t="str">
        <f t="shared" ref="G40:J40" si="5">G$10</f>
        <v>2022/23</v>
      </c>
      <c r="H40" s="84" t="str">
        <f t="shared" si="5"/>
        <v>2023/24</v>
      </c>
      <c r="I40" s="84" t="str">
        <f t="shared" si="5"/>
        <v>2024/25</v>
      </c>
      <c r="J40" s="84" t="str">
        <f t="shared" si="5"/>
        <v>2025/26</v>
      </c>
    </row>
    <row r="41" spans="1:10" x14ac:dyDescent="0.2">
      <c r="B41" s="100"/>
      <c r="C41" s="100" t="s">
        <v>0</v>
      </c>
      <c r="D41" s="121" t="str">
        <f>B40&amp;C41</f>
        <v>Option 1VPN</v>
      </c>
      <c r="E41" s="3"/>
      <c r="F41" s="9">
        <f>SUMPRODUCT(('Option 1'!$Q$8:$U$8=Summary!F$40)*('Option 1'!$D$10:$D$39=Summary!$C41)*('Option 1'!$Q$10:$U$39))*Conv_2021</f>
        <v>2264763.9068388599</v>
      </c>
      <c r="G41" s="9">
        <f>SUMPRODUCT(('Option 1'!$Q$8:$U$8=Summary!G$40)*('Option 1'!$D$10:$D$39=Summary!$C41)*('Option 1'!$Q$10:$U$39))*Conv_2021</f>
        <v>647075.40195395995</v>
      </c>
      <c r="H41" s="9">
        <f>SUMPRODUCT(('Option 1'!$Q$8:$U$8=Summary!H$40)*('Option 1'!$D$10:$D$39=Summary!$C41)*('Option 1'!$Q$10:$U$39))*Conv_2021</f>
        <v>0</v>
      </c>
      <c r="I41" s="9">
        <f>SUMPRODUCT(('Option 1'!$Q$8:$U$8=Summary!I$40)*('Option 1'!$D$10:$D$39=Summary!$C41)*('Option 1'!$Q$10:$U$39))*Conv_2021</f>
        <v>1059043.2110539442</v>
      </c>
      <c r="J41" s="9">
        <f>SUMPRODUCT(('Option 1'!$Q$8:$U$8=Summary!J$40)*('Option 1'!$D$10:$D$39=Summary!$C41)*('Option 1'!$Q$10:$U$39))*Conv_2021</f>
        <v>0</v>
      </c>
    </row>
    <row r="42" spans="1:10" x14ac:dyDescent="0.2">
      <c r="B42" s="100"/>
      <c r="C42" s="100" t="s">
        <v>49</v>
      </c>
      <c r="D42" s="121" t="str">
        <f>B40&amp;C42</f>
        <v>Option 1UE</v>
      </c>
      <c r="E42" s="3"/>
      <c r="F42" s="9">
        <f>SUMPRODUCT(('Option 1'!$Q$8:$U$8=Summary!F$40)*('Option 1'!$D$10:$D$39=Summary!$C42)*('Option 1'!$Q$10:$U$39))*Conv_2021</f>
        <v>1294150.8039079199</v>
      </c>
      <c r="G42" s="9">
        <f>SUMPRODUCT(('Option 1'!$Q$8:$U$8=Summary!G$40)*('Option 1'!$D$10:$D$39=Summary!$C42)*('Option 1'!$Q$10:$U$39))*Conv_2021</f>
        <v>517660.32156316796</v>
      </c>
      <c r="H42" s="9">
        <f>SUMPRODUCT(('Option 1'!$Q$8:$U$8=Summary!H$40)*('Option 1'!$D$10:$D$39=Summary!$C42)*('Option 1'!$Q$10:$U$39))*Conv_2021</f>
        <v>0</v>
      </c>
      <c r="I42" s="9">
        <f>SUMPRODUCT(('Option 1'!$Q$8:$U$8=Summary!I$40)*('Option 1'!$D$10:$D$39=Summary!$C42)*('Option 1'!$Q$10:$U$39))*Conv_2021</f>
        <v>529521.6055269721</v>
      </c>
      <c r="J42" s="9">
        <f>SUMPRODUCT(('Option 1'!$Q$8:$U$8=Summary!J$40)*('Option 1'!$D$10:$D$39=Summary!$C42)*('Option 1'!$Q$10:$U$39))*Conv_2021</f>
        <v>517660.32156316796</v>
      </c>
    </row>
    <row r="43" spans="1:10" x14ac:dyDescent="0.2">
      <c r="B43" s="100"/>
      <c r="C43" s="126" t="s">
        <v>53</v>
      </c>
      <c r="D43" s="127" t="str">
        <f>B40&amp;C43</f>
        <v>Option 1All</v>
      </c>
      <c r="E43" s="128"/>
      <c r="F43" s="9">
        <f>SUMPRODUCT(('Option 1'!$Q$8:$U$8=Summary!F$40)*('Option 1'!$D$10:$D$39=Summary!$C43)*('Option 1'!$Q$10:$U$39))*Conv_2021</f>
        <v>0</v>
      </c>
      <c r="G43" s="9">
        <f>SUMPRODUCT(('Option 1'!$Q$8:$U$8=Summary!G$40)*('Option 1'!$D$10:$D$39=Summary!$C43)*('Option 1'!$Q$10:$U$39))*Conv_2021</f>
        <v>0</v>
      </c>
      <c r="H43" s="9">
        <f>SUMPRODUCT(('Option 1'!$Q$8:$U$8=Summary!H$40)*('Option 1'!$D$10:$D$39=Summary!$C43)*('Option 1'!$Q$10:$U$39))*Conv_2021</f>
        <v>0</v>
      </c>
      <c r="I43" s="9">
        <f>SUMPRODUCT(('Option 1'!$Q$8:$U$8=Summary!I$40)*('Option 1'!$D$10:$D$39=Summary!$C43)*('Option 1'!$Q$10:$U$39))*Conv_2021</f>
        <v>0</v>
      </c>
      <c r="J43" s="9">
        <f>SUMPRODUCT(('Option 1'!$Q$8:$U$8=Summary!J$40)*('Option 1'!$D$10:$D$39=Summary!$C43)*('Option 1'!$Q$10:$U$39))*Conv_2021</f>
        <v>0</v>
      </c>
    </row>
    <row r="44" spans="1:10" x14ac:dyDescent="0.2">
      <c r="C44" s="25" t="s">
        <v>25</v>
      </c>
      <c r="D44" s="129" t="str">
        <f>B40&amp;C44</f>
        <v>Option 1Total</v>
      </c>
      <c r="E44" s="130"/>
      <c r="F44" s="26">
        <f>SUM(F41:F43)</f>
        <v>3558914.71074678</v>
      </c>
      <c r="G44" s="26">
        <f t="shared" ref="G44:J44" si="6">SUM(G41:G43)</f>
        <v>1164735.7235171278</v>
      </c>
      <c r="H44" s="26">
        <f t="shared" si="6"/>
        <v>0</v>
      </c>
      <c r="I44" s="26">
        <f t="shared" si="6"/>
        <v>1588564.8165809163</v>
      </c>
      <c r="J44" s="26">
        <f t="shared" si="6"/>
        <v>517660.32156316796</v>
      </c>
    </row>
    <row r="46" spans="1:10" x14ac:dyDescent="0.2">
      <c r="D46" s="1"/>
    </row>
    <row r="47" spans="1:10" x14ac:dyDescent="0.2">
      <c r="B47" s="82" t="str">
        <f>B19</f>
        <v>Option 2</v>
      </c>
      <c r="C47" s="82"/>
      <c r="D47" s="82"/>
      <c r="E47" s="83"/>
      <c r="F47" s="84" t="str">
        <f>F$10</f>
        <v>2021/22</v>
      </c>
      <c r="G47" s="84" t="str">
        <f t="shared" ref="G47:J47" si="7">G$10</f>
        <v>2022/23</v>
      </c>
      <c r="H47" s="84" t="str">
        <f t="shared" si="7"/>
        <v>2023/24</v>
      </c>
      <c r="I47" s="84" t="str">
        <f t="shared" si="7"/>
        <v>2024/25</v>
      </c>
      <c r="J47" s="84" t="str">
        <f t="shared" si="7"/>
        <v>2025/26</v>
      </c>
    </row>
    <row r="48" spans="1:10" x14ac:dyDescent="0.2">
      <c r="B48" s="100"/>
      <c r="C48" s="100" t="s">
        <v>0</v>
      </c>
      <c r="D48" s="121" t="str">
        <f>B47&amp;C48</f>
        <v>Option 2VPN</v>
      </c>
      <c r="E48" s="3"/>
      <c r="F48" s="9">
        <f>SUMPRODUCT(('Option 2'!$Q$8:$U$8=Summary!F$47)*('Option 2'!$D$10:$D$55=Summary!$C48)*('Option 2'!$Q$10:$U$55))*Conv_2021</f>
        <v>0</v>
      </c>
      <c r="G48" s="9">
        <f>SUMPRODUCT(('Option 2'!$Q$8:$U$8=Summary!G$47)*('Option 2'!$D$10:$D$55=Summary!$C48)*('Option 2'!$Q$10:$U$55))*Conv_2021</f>
        <v>370665.1238688805</v>
      </c>
      <c r="H48" s="9">
        <f>SUMPRODUCT(('Option 2'!$Q$8:$U$8=Summary!H$47)*('Option 2'!$D$10:$D$55=Summary!$C48)*('Option 2'!$Q$10:$U$55))*Conv_2021</f>
        <v>0</v>
      </c>
      <c r="I48" s="9">
        <f>SUMPRODUCT(('Option 2'!$Q$8:$U$8=Summary!I$47)*('Option 2'!$D$10:$D$55=Summary!$C48)*('Option 2'!$Q$10:$U$55))*Conv_2021</f>
        <v>0</v>
      </c>
      <c r="J48" s="9">
        <f>SUMPRODUCT(('Option 2'!$Q$8:$U$8=Summary!J$47)*('Option 2'!$D$10:$D$55=Summary!$C48)*('Option 2'!$Q$10:$U$55))*Conv_2021</f>
        <v>0</v>
      </c>
    </row>
    <row r="49" spans="2:10" x14ac:dyDescent="0.2">
      <c r="B49" s="100"/>
      <c r="C49" s="100" t="s">
        <v>49</v>
      </c>
      <c r="D49" s="121" t="str">
        <f>B47&amp;C49</f>
        <v>Option 2UE</v>
      </c>
      <c r="E49" s="3"/>
      <c r="F49" s="9">
        <f>SUMPRODUCT(('Option 2'!$Q$8:$U$8=Summary!F$47)*('Option 2'!$D$10:$D$55=Summary!$C49)*('Option 2'!$Q$10:$U$55))*Conv_2021</f>
        <v>370665.1238688805</v>
      </c>
      <c r="G49" s="9">
        <f>SUMPRODUCT(('Option 2'!$Q$8:$U$8=Summary!G$47)*('Option 2'!$D$10:$D$55=Summary!$C49)*('Option 2'!$Q$10:$U$55))*Conv_2021</f>
        <v>0</v>
      </c>
      <c r="H49" s="9">
        <f>SUMPRODUCT(('Option 2'!$Q$8:$U$8=Summary!H$47)*('Option 2'!$D$10:$D$55=Summary!$C49)*('Option 2'!$Q$10:$U$55))*Conv_2021</f>
        <v>0</v>
      </c>
      <c r="I49" s="9">
        <f>SUMPRODUCT(('Option 2'!$Q$8:$U$8=Summary!I$47)*('Option 2'!$D$10:$D$55=Summary!$C49)*('Option 2'!$Q$10:$U$55))*Conv_2021</f>
        <v>0</v>
      </c>
      <c r="J49" s="9">
        <f>SUMPRODUCT(('Option 2'!$Q$8:$U$8=Summary!J$47)*('Option 2'!$D$10:$D$55=Summary!$C49)*('Option 2'!$Q$10:$U$55))*Conv_2021</f>
        <v>0</v>
      </c>
    </row>
    <row r="50" spans="2:10" x14ac:dyDescent="0.2">
      <c r="B50" s="100"/>
      <c r="C50" s="126" t="s">
        <v>53</v>
      </c>
      <c r="D50" s="127" t="str">
        <f>B47&amp;C50</f>
        <v>Option 2All</v>
      </c>
      <c r="E50" s="128"/>
      <c r="F50" s="9">
        <f>SUMPRODUCT(('Option 2'!$Q$8:$U$8=Summary!F$47)*('Option 2'!$D$10:$D$55=Summary!$C50)*('Option 2'!$Q$10:$U$55))*Conv_2021</f>
        <v>297654.68489882158</v>
      </c>
      <c r="G50" s="9">
        <f>SUMPRODUCT(('Option 2'!$Q$8:$U$8=Summary!G$47)*('Option 2'!$D$10:$D$55=Summary!$C50)*('Option 2'!$Q$10:$U$55))*Conv_2021</f>
        <v>3023459.8156298781</v>
      </c>
      <c r="H50" s="9">
        <f>SUMPRODUCT(('Option 2'!$Q$8:$U$8=Summary!H$47)*('Option 2'!$D$10:$D$55=Summary!$C50)*('Option 2'!$Q$10:$U$55))*Conv_2021</f>
        <v>1231060.9522174089</v>
      </c>
      <c r="I50" s="9">
        <f>SUMPRODUCT(('Option 2'!$Q$8:$U$8=Summary!I$47)*('Option 2'!$D$10:$D$55=Summary!$C50)*('Option 2'!$Q$10:$U$55))*Conv_2021</f>
        <v>297654.68489882158</v>
      </c>
      <c r="J50" s="9">
        <f>SUMPRODUCT(('Option 2'!$Q$8:$U$8=Summary!J$47)*('Option 2'!$D$10:$D$55=Summary!$C50)*('Option 2'!$Q$10:$U$55))*Conv_2021</f>
        <v>297654.68489882158</v>
      </c>
    </row>
    <row r="51" spans="2:10" x14ac:dyDescent="0.2">
      <c r="B51" s="100"/>
      <c r="C51" s="25" t="s">
        <v>25</v>
      </c>
      <c r="D51" s="129" t="str">
        <f>B47&amp;C51</f>
        <v>Option 2Total</v>
      </c>
      <c r="E51" s="130"/>
      <c r="F51" s="26">
        <f>SUM(F48:F50)</f>
        <v>668319.80876770208</v>
      </c>
      <c r="G51" s="26">
        <f t="shared" ref="G51" si="8">SUM(G48:G50)</f>
        <v>3394124.9394987584</v>
      </c>
      <c r="H51" s="26">
        <f t="shared" ref="H51" si="9">SUM(H48:H50)</f>
        <v>1231060.9522174089</v>
      </c>
      <c r="I51" s="26">
        <f t="shared" ref="I51" si="10">SUM(I48:I50)</f>
        <v>297654.68489882158</v>
      </c>
      <c r="J51" s="26">
        <f t="shared" ref="J51" si="11">SUM(J48:J50)</f>
        <v>297654.68489882158</v>
      </c>
    </row>
    <row r="52" spans="2:10" x14ac:dyDescent="0.2">
      <c r="B52" s="100"/>
      <c r="C52" s="100"/>
      <c r="E52" s="100"/>
      <c r="F52" s="100"/>
      <c r="G52" s="100"/>
      <c r="H52" s="100"/>
      <c r="I52" s="100"/>
      <c r="J52" s="100"/>
    </row>
    <row r="53" spans="2:10" x14ac:dyDescent="0.2">
      <c r="B53" s="100"/>
      <c r="C53" s="100"/>
      <c r="E53" s="100"/>
      <c r="F53" s="100"/>
      <c r="G53" s="100"/>
      <c r="H53" s="100"/>
      <c r="I53" s="100"/>
      <c r="J53" s="100"/>
    </row>
    <row r="54" spans="2:10" x14ac:dyDescent="0.2">
      <c r="B54" s="82" t="str">
        <f>B28</f>
        <v>Option 3</v>
      </c>
      <c r="C54" s="82" t="s">
        <v>55</v>
      </c>
      <c r="D54" s="82"/>
      <c r="E54" s="83"/>
      <c r="F54" s="84" t="str">
        <f>F$10</f>
        <v>2021/22</v>
      </c>
      <c r="G54" s="84" t="str">
        <f t="shared" ref="G54:J54" si="12">G$10</f>
        <v>2022/23</v>
      </c>
      <c r="H54" s="84" t="str">
        <f t="shared" si="12"/>
        <v>2023/24</v>
      </c>
      <c r="I54" s="84" t="str">
        <f t="shared" si="12"/>
        <v>2024/25</v>
      </c>
      <c r="J54" s="84" t="str">
        <f t="shared" si="12"/>
        <v>2025/26</v>
      </c>
    </row>
    <row r="55" spans="2:10" x14ac:dyDescent="0.2">
      <c r="B55" s="100"/>
      <c r="C55" s="100" t="s">
        <v>0</v>
      </c>
      <c r="D55" s="121" t="str">
        <f>B54&amp;C55</f>
        <v>Option 3VPN</v>
      </c>
      <c r="E55" s="3"/>
      <c r="F55" s="9">
        <f>SUMPRODUCT(('Option 3'!$Q$8:$U$8=Summary!F$54)*('Option 3'!$D$10:$D$77=Summary!$C55)*('Option 3'!$Q$10:$U$77))*Conv_2021</f>
        <v>194122.62058618799</v>
      </c>
      <c r="G55" s="9">
        <f>SUMPRODUCT(('Option 3'!$Q$8:$U$8=Summary!G$54)*('Option 3'!$D$10:$D$77=Summary!$C55)*('Option 3'!$Q$10:$U$77))*Conv_2021</f>
        <v>3721647.2905573286</v>
      </c>
      <c r="H55" s="9">
        <f>SUMPRODUCT(('Option 3'!$Q$8:$U$8=Summary!H$54)*('Option 3'!$D$10:$D$77=Summary!$C55)*('Option 3'!$Q$10:$U$77))*Conv_2021</f>
        <v>957671.59489186073</v>
      </c>
      <c r="I55" s="9">
        <f>SUMPRODUCT(('Option 3'!$Q$8:$U$8=Summary!I$54)*('Option 3'!$D$10:$D$77=Summary!$C55)*('Option 3'!$Q$10:$U$77))*Conv_2021</f>
        <v>194122.62058618799</v>
      </c>
      <c r="J55" s="9">
        <f>SUMPRODUCT(('Option 3'!$Q$8:$U$8=Summary!J$54)*('Option 3'!$D$10:$D$77=Summary!$C55)*('Option 3'!$Q$10:$U$77))*Conv_2021</f>
        <v>194122.62058618799</v>
      </c>
    </row>
    <row r="56" spans="2:10" x14ac:dyDescent="0.2">
      <c r="B56" s="100"/>
      <c r="C56" s="100" t="s">
        <v>49</v>
      </c>
      <c r="D56" s="121" t="str">
        <f>B54&amp;C56</f>
        <v>Option 3UE</v>
      </c>
      <c r="E56" s="3"/>
      <c r="F56" s="9">
        <f>SUMPRODUCT(('Option 3'!$Q$8:$U$8=Summary!F$54)*('Option 3'!$D$10:$D$77=Summary!$C56)*('Option 3'!$Q$10:$U$77))*Conv_2021</f>
        <v>103532.06431263359</v>
      </c>
      <c r="G56" s="9">
        <f>SUMPRODUCT(('Option 3'!$Q$8:$U$8=Summary!G$54)*('Option 3'!$D$10:$D$77=Summary!$C56)*('Option 3'!$Q$10:$U$77))*Conv_2021</f>
        <v>2303207.1754001179</v>
      </c>
      <c r="H56" s="9">
        <f>SUMPRODUCT(('Option 3'!$Q$8:$U$8=Summary!H$54)*('Option 3'!$D$10:$D$77=Summary!$C56)*('Option 3'!$Q$10:$U$77))*Conv_2021</f>
        <v>452952.78136777197</v>
      </c>
      <c r="I56" s="9">
        <f>SUMPRODUCT(('Option 3'!$Q$8:$U$8=Summary!I$54)*('Option 3'!$D$10:$D$77=Summary!$C56)*('Option 3'!$Q$10:$U$77))*Conv_2021</f>
        <v>103532.06431263359</v>
      </c>
      <c r="J56" s="9">
        <f>SUMPRODUCT(('Option 3'!$Q$8:$U$8=Summary!J$54)*('Option 3'!$D$10:$D$77=Summary!$C56)*('Option 3'!$Q$10:$U$77))*Conv_2021</f>
        <v>103532.06431263359</v>
      </c>
    </row>
    <row r="57" spans="2:10" x14ac:dyDescent="0.2">
      <c r="B57" s="100"/>
      <c r="C57" s="126" t="s">
        <v>53</v>
      </c>
      <c r="D57" s="127" t="str">
        <f>B54&amp;C57</f>
        <v>Option 3All</v>
      </c>
      <c r="E57" s="128"/>
      <c r="F57" s="9">
        <f>SUMPRODUCT(('Option 3'!$Q$8:$U$8=Summary!F$54)*('Option 3'!$D$10:$D$77=Summary!$C57)*('Option 3'!$Q$10:$U$77))*Conv_2021</f>
        <v>0</v>
      </c>
      <c r="G57" s="9">
        <f>SUMPRODUCT(('Option 3'!$Q$8:$U$8=Summary!G$54)*('Option 3'!$D$10:$D$77=Summary!$C57)*('Option 3'!$Q$10:$U$77))*Conv_2021</f>
        <v>0</v>
      </c>
      <c r="H57" s="9">
        <f>SUMPRODUCT(('Option 3'!$Q$8:$U$8=Summary!H$54)*('Option 3'!$D$10:$D$77=Summary!$C57)*('Option 3'!$Q$10:$U$77))*Conv_2021</f>
        <v>0</v>
      </c>
      <c r="I57" s="9">
        <f>SUMPRODUCT(('Option 3'!$Q$8:$U$8=Summary!I$54)*('Option 3'!$D$10:$D$77=Summary!$C57)*('Option 3'!$Q$10:$U$77))*Conv_2021</f>
        <v>0</v>
      </c>
      <c r="J57" s="9">
        <f>SUMPRODUCT(('Option 3'!$Q$8:$U$8=Summary!J$54)*('Option 3'!$D$10:$D$77=Summary!$C57)*('Option 3'!$Q$10:$U$77))*Conv_2021</f>
        <v>0</v>
      </c>
    </row>
    <row r="58" spans="2:10" x14ac:dyDescent="0.2">
      <c r="B58" s="100"/>
      <c r="C58" s="25" t="s">
        <v>25</v>
      </c>
      <c r="D58" s="129" t="str">
        <f>B54&amp;C58</f>
        <v>Option 3Total</v>
      </c>
      <c r="E58" s="130"/>
      <c r="F58" s="26">
        <f>SUM(F55:F57)</f>
        <v>297654.68489882158</v>
      </c>
      <c r="G58" s="26">
        <f t="shared" ref="G58" si="13">SUM(G55:G57)</f>
        <v>6024854.465957446</v>
      </c>
      <c r="H58" s="26">
        <f t="shared" ref="H58" si="14">SUM(H55:H57)</f>
        <v>1410624.3762596326</v>
      </c>
      <c r="I58" s="26">
        <f t="shared" ref="I58" si="15">SUM(I55:I57)</f>
        <v>297654.68489882158</v>
      </c>
      <c r="J58" s="26">
        <f t="shared" ref="J58" si="16">SUM(J55:J57)</f>
        <v>297654.68489882158</v>
      </c>
    </row>
    <row r="61" spans="2:10" x14ac:dyDescent="0.2">
      <c r="B61" s="82"/>
      <c r="C61" s="82" t="s">
        <v>57</v>
      </c>
      <c r="D61" s="82"/>
      <c r="E61" s="83"/>
      <c r="F61" s="84" t="str">
        <f>F$10</f>
        <v>2021/22</v>
      </c>
      <c r="G61" s="84" t="str">
        <f t="shared" ref="G61:J61" si="17">G$10</f>
        <v>2022/23</v>
      </c>
      <c r="H61" s="84" t="str">
        <f t="shared" si="17"/>
        <v>2023/24</v>
      </c>
      <c r="I61" s="84" t="str">
        <f t="shared" si="17"/>
        <v>2024/25</v>
      </c>
      <c r="J61" s="84" t="str">
        <f t="shared" si="17"/>
        <v>2025/26</v>
      </c>
    </row>
    <row r="62" spans="2:10" x14ac:dyDescent="0.2">
      <c r="B62" s="131" t="str">
        <f>B10</f>
        <v>Option 1</v>
      </c>
      <c r="C62" s="131"/>
      <c r="D62" s="131"/>
      <c r="E62" s="131"/>
      <c r="F62" s="132">
        <f>F14-'Option 1'!Q50</f>
        <v>0</v>
      </c>
      <c r="G62" s="132">
        <f>G14-'Option 1'!R50</f>
        <v>0</v>
      </c>
      <c r="H62" s="132">
        <f>H14-'Option 1'!S50</f>
        <v>0</v>
      </c>
      <c r="I62" s="132">
        <f>I14-'Option 1'!T50</f>
        <v>0</v>
      </c>
      <c r="J62" s="132">
        <f>J14-'Option 1'!U50</f>
        <v>0</v>
      </c>
    </row>
    <row r="63" spans="2:10" x14ac:dyDescent="0.2">
      <c r="B63" s="131" t="str">
        <f>B19</f>
        <v>Option 2</v>
      </c>
      <c r="C63" s="131"/>
      <c r="D63" s="131"/>
      <c r="E63" s="131"/>
      <c r="F63" s="132">
        <f>F23-'Option 2'!Q66</f>
        <v>0</v>
      </c>
      <c r="G63" s="132">
        <f>G23-'Option 2'!R66</f>
        <v>0</v>
      </c>
      <c r="H63" s="132">
        <f>H23-'Option 2'!S66</f>
        <v>0</v>
      </c>
      <c r="I63" s="132">
        <f>I23-'Option 2'!T66</f>
        <v>0</v>
      </c>
      <c r="J63" s="132">
        <f>J23-'Option 2'!U66</f>
        <v>0</v>
      </c>
    </row>
    <row r="64" spans="2:10" x14ac:dyDescent="0.2">
      <c r="B64" s="135" t="str">
        <f>B28</f>
        <v>Option 3</v>
      </c>
      <c r="C64" s="135"/>
      <c r="D64" s="135"/>
      <c r="E64" s="135"/>
      <c r="F64" s="136">
        <f>F32-'Option 3'!Q88</f>
        <v>0</v>
      </c>
      <c r="G64" s="136">
        <f>G32-'Option 3'!R88</f>
        <v>0</v>
      </c>
      <c r="H64" s="136">
        <f>H32-'Option 3'!S88</f>
        <v>0</v>
      </c>
      <c r="I64" s="136">
        <f>I32-'Option 3'!T88</f>
        <v>0</v>
      </c>
      <c r="J64" s="136">
        <f>J32-'Option 3'!U88</f>
        <v>0</v>
      </c>
    </row>
    <row r="65" spans="1:10" x14ac:dyDescent="0.2">
      <c r="B65" s="131" t="str">
        <f>B10</f>
        <v>Option 1</v>
      </c>
      <c r="C65" s="131"/>
      <c r="D65" s="131"/>
      <c r="E65" s="131"/>
      <c r="F65" s="132">
        <f>F14-F44</f>
        <v>0</v>
      </c>
      <c r="G65" s="132">
        <f t="shared" ref="G65:J65" si="18">G14-G44</f>
        <v>0</v>
      </c>
      <c r="H65" s="132">
        <f t="shared" si="18"/>
        <v>0</v>
      </c>
      <c r="I65" s="132">
        <f t="shared" si="18"/>
        <v>0</v>
      </c>
      <c r="J65" s="132">
        <f t="shared" si="18"/>
        <v>0</v>
      </c>
    </row>
    <row r="66" spans="1:10" x14ac:dyDescent="0.2">
      <c r="B66" s="131" t="str">
        <f>B19</f>
        <v>Option 2</v>
      </c>
      <c r="C66" s="131"/>
      <c r="D66" s="131"/>
      <c r="E66" s="131"/>
      <c r="F66" s="132">
        <f>F23-F51</f>
        <v>0</v>
      </c>
      <c r="G66" s="132">
        <f t="shared" ref="G66:J66" si="19">G23-G51</f>
        <v>0</v>
      </c>
      <c r="H66" s="132">
        <f t="shared" si="19"/>
        <v>0</v>
      </c>
      <c r="I66" s="132">
        <f t="shared" si="19"/>
        <v>0</v>
      </c>
      <c r="J66" s="132">
        <f t="shared" si="19"/>
        <v>0</v>
      </c>
    </row>
    <row r="67" spans="1:10" x14ac:dyDescent="0.2">
      <c r="B67" s="131" t="str">
        <f>B28</f>
        <v>Option 3</v>
      </c>
      <c r="C67" s="131"/>
      <c r="D67" s="131"/>
      <c r="E67" s="131"/>
      <c r="F67" s="132">
        <f>F32-F58</f>
        <v>0</v>
      </c>
      <c r="G67" s="132">
        <f t="shared" ref="G67:J67" si="20">G32-G58</f>
        <v>0</v>
      </c>
      <c r="H67" s="132">
        <f t="shared" si="20"/>
        <v>0</v>
      </c>
      <c r="I67" s="132">
        <f t="shared" si="20"/>
        <v>0</v>
      </c>
      <c r="J67" s="132">
        <f t="shared" si="20"/>
        <v>0</v>
      </c>
    </row>
    <row r="69" spans="1:10" s="100" customFormat="1" ht="15.75" x14ac:dyDescent="0.25">
      <c r="A69" s="37" t="s">
        <v>56</v>
      </c>
      <c r="B69" s="35"/>
      <c r="C69" s="36"/>
      <c r="D69" s="36"/>
      <c r="E69" s="36"/>
      <c r="F69" s="36"/>
      <c r="G69" s="36"/>
      <c r="H69" s="36"/>
      <c r="I69" s="36"/>
      <c r="J69" s="36"/>
    </row>
    <row r="70" spans="1:10" s="100" customFormat="1" x14ac:dyDescent="0.2"/>
    <row r="71" spans="1:10" s="100" customFormat="1" x14ac:dyDescent="0.2"/>
    <row r="72" spans="1:10" s="100" customFormat="1" x14ac:dyDescent="0.2">
      <c r="B72" s="82" t="str">
        <f>B10</f>
        <v>Option 1</v>
      </c>
      <c r="C72" s="82"/>
      <c r="D72" s="82"/>
      <c r="E72" s="83"/>
      <c r="F72" s="84" t="str">
        <f>F$10</f>
        <v>2021/22</v>
      </c>
      <c r="G72" s="84" t="str">
        <f t="shared" ref="G72:J72" si="21">G$10</f>
        <v>2022/23</v>
      </c>
      <c r="H72" s="84" t="str">
        <f t="shared" si="21"/>
        <v>2023/24</v>
      </c>
      <c r="I72" s="84" t="str">
        <f t="shared" si="21"/>
        <v>2024/25</v>
      </c>
      <c r="J72" s="84" t="str">
        <f t="shared" si="21"/>
        <v>2025/26</v>
      </c>
    </row>
    <row r="73" spans="1:10" s="100" customFormat="1" x14ac:dyDescent="0.2">
      <c r="C73" s="100" t="s">
        <v>2</v>
      </c>
      <c r="D73" s="160" t="str">
        <f>$B$72&amp;C73&amp;E73</f>
        <v>Option 1LabourVPN</v>
      </c>
      <c r="E73" s="3" t="s">
        <v>0</v>
      </c>
      <c r="F73" s="9">
        <f>INDEX('Option 1'!Q$56:Q$61,MATCH(Summary!$C73&amp;$E73,'Option 1'!$F$56:$F$61,0))</f>
        <v>2264763.9068388599</v>
      </c>
      <c r="G73" s="9">
        <f>INDEX('Option 1'!R$56:R$61,MATCH(Summary!$C73&amp;$E73,'Option 1'!$F$56:$F$61,0))</f>
        <v>647075.40195395995</v>
      </c>
      <c r="H73" s="9">
        <f>INDEX('Option 1'!S$56:S$61,MATCH(Summary!$C73&amp;$E73,'Option 1'!$F$56:$F$61,0))</f>
        <v>0</v>
      </c>
      <c r="I73" s="9">
        <f>INDEX('Option 1'!T$56:T$61,MATCH(Summary!$C73&amp;$E73,'Option 1'!$F$56:$F$61,0))</f>
        <v>0</v>
      </c>
      <c r="J73" s="9">
        <f>INDEX('Option 1'!U$56:U$61,MATCH(Summary!$C73&amp;$E73,'Option 1'!$F$56:$F$61,0))</f>
        <v>0</v>
      </c>
    </row>
    <row r="74" spans="1:10" s="100" customFormat="1" x14ac:dyDescent="0.2">
      <c r="C74" s="100" t="s">
        <v>1</v>
      </c>
      <c r="D74" s="160" t="str">
        <f t="shared" ref="D74:D78" si="22">$B$72&amp;C74&amp;E74</f>
        <v>Option 1MaterialsVPN</v>
      </c>
      <c r="E74" s="3" t="s">
        <v>0</v>
      </c>
      <c r="F74" s="9">
        <f>INDEX('Option 1'!Q$56:Q$61,MATCH(Summary!$C74&amp;$E74,'Option 1'!$F$56:$F$61,0))</f>
        <v>0</v>
      </c>
      <c r="G74" s="9">
        <f>INDEX('Option 1'!R$56:R$61,MATCH(Summary!$C74&amp;$E74,'Option 1'!$F$56:$F$61,0))</f>
        <v>0</v>
      </c>
      <c r="H74" s="9">
        <f>INDEX('Option 1'!S$56:S$61,MATCH(Summary!$C74&amp;$E74,'Option 1'!$F$56:$F$61,0))</f>
        <v>0</v>
      </c>
      <c r="I74" s="9">
        <f>INDEX('Option 1'!T$56:T$61,MATCH(Summary!$C74&amp;$E74,'Option 1'!$F$56:$F$61,0))</f>
        <v>1059043.2110539442</v>
      </c>
      <c r="J74" s="9">
        <f>INDEX('Option 1'!U$56:U$61,MATCH(Summary!$C74&amp;$E74,'Option 1'!$F$56:$F$61,0))</f>
        <v>0</v>
      </c>
    </row>
    <row r="75" spans="1:10" s="100" customFormat="1" x14ac:dyDescent="0.2">
      <c r="C75" s="100" t="s">
        <v>4</v>
      </c>
      <c r="D75" s="160" t="str">
        <f t="shared" si="22"/>
        <v>Option 1ContractsVPN</v>
      </c>
      <c r="E75" s="3" t="s">
        <v>0</v>
      </c>
      <c r="F75" s="9">
        <f>INDEX('Option 1'!Q$56:Q$61,MATCH(Summary!$C75&amp;$E75,'Option 1'!$F$56:$F$61,0))</f>
        <v>0</v>
      </c>
      <c r="G75" s="9">
        <f>INDEX('Option 1'!R$56:R$61,MATCH(Summary!$C75&amp;$E75,'Option 1'!$F$56:$F$61,0))</f>
        <v>0</v>
      </c>
      <c r="H75" s="9">
        <f>INDEX('Option 1'!S$56:S$61,MATCH(Summary!$C75&amp;$E75,'Option 1'!$F$56:$F$61,0))</f>
        <v>0</v>
      </c>
      <c r="I75" s="9">
        <f>INDEX('Option 1'!T$56:T$61,MATCH(Summary!$C75&amp;$E75,'Option 1'!$F$56:$F$61,0))</f>
        <v>0</v>
      </c>
      <c r="J75" s="9">
        <f>INDEX('Option 1'!U$56:U$61,MATCH(Summary!$C75&amp;$E75,'Option 1'!$F$56:$F$61,0))</f>
        <v>0</v>
      </c>
    </row>
    <row r="76" spans="1:10" s="100" customFormat="1" x14ac:dyDescent="0.2">
      <c r="C76" s="100" t="s">
        <v>2</v>
      </c>
      <c r="D76" s="160" t="str">
        <f t="shared" si="22"/>
        <v>Option 1LabourUE</v>
      </c>
      <c r="E76" s="3" t="s">
        <v>49</v>
      </c>
      <c r="F76" s="9">
        <f>INDEX('Option 1'!Q$56:Q$61,MATCH(Summary!$C76&amp;$E76,'Option 1'!$F$56:$F$61,0))</f>
        <v>1294150.8039079199</v>
      </c>
      <c r="G76" s="9">
        <f>INDEX('Option 1'!R$56:R$61,MATCH(Summary!$C76&amp;$E76,'Option 1'!$F$56:$F$61,0))</f>
        <v>517660.32156316796</v>
      </c>
      <c r="H76" s="9">
        <f>INDEX('Option 1'!S$56:S$61,MATCH(Summary!$C76&amp;$E76,'Option 1'!$F$56:$F$61,0))</f>
        <v>0</v>
      </c>
      <c r="I76" s="9">
        <f>INDEX('Option 1'!T$56:T$61,MATCH(Summary!$C76&amp;$E76,'Option 1'!$F$56:$F$61,0))</f>
        <v>0</v>
      </c>
      <c r="J76" s="9">
        <f>INDEX('Option 1'!U$56:U$61,MATCH(Summary!$C76&amp;$E76,'Option 1'!$F$56:$F$61,0))</f>
        <v>517660.32156316796</v>
      </c>
    </row>
    <row r="77" spans="1:10" s="100" customFormat="1" x14ac:dyDescent="0.2">
      <c r="C77" s="100" t="s">
        <v>1</v>
      </c>
      <c r="D77" s="160" t="str">
        <f t="shared" si="22"/>
        <v>Option 1MaterialsUE</v>
      </c>
      <c r="E77" s="3" t="s">
        <v>49</v>
      </c>
      <c r="F77" s="9">
        <f>INDEX('Option 1'!Q$56:Q$61,MATCH(Summary!$C77&amp;$E77,'Option 1'!$F$56:$F$61,0))</f>
        <v>0</v>
      </c>
      <c r="G77" s="9">
        <f>INDEX('Option 1'!R$56:R$61,MATCH(Summary!$C77&amp;$E77,'Option 1'!$F$56:$F$61,0))</f>
        <v>0</v>
      </c>
      <c r="H77" s="9">
        <f>INDEX('Option 1'!S$56:S$61,MATCH(Summary!$C77&amp;$E77,'Option 1'!$F$56:$F$61,0))</f>
        <v>0</v>
      </c>
      <c r="I77" s="9">
        <f>INDEX('Option 1'!T$56:T$61,MATCH(Summary!$C77&amp;$E77,'Option 1'!$F$56:$F$61,0))</f>
        <v>529521.6055269721</v>
      </c>
      <c r="J77" s="9">
        <f>INDEX('Option 1'!U$56:U$61,MATCH(Summary!$C77&amp;$E77,'Option 1'!$F$56:$F$61,0))</f>
        <v>0</v>
      </c>
    </row>
    <row r="78" spans="1:10" s="100" customFormat="1" x14ac:dyDescent="0.2">
      <c r="C78" s="126" t="s">
        <v>4</v>
      </c>
      <c r="D78" s="161" t="str">
        <f t="shared" si="22"/>
        <v>Option 1ContractsUE</v>
      </c>
      <c r="E78" s="128" t="s">
        <v>49</v>
      </c>
      <c r="F78" s="9">
        <f>INDEX('Option 1'!Q$56:Q$61,MATCH(Summary!$C78&amp;$E78,'Option 1'!$F$56:$F$61,0))</f>
        <v>0</v>
      </c>
      <c r="G78" s="9">
        <f>INDEX('Option 1'!R$56:R$61,MATCH(Summary!$C78&amp;$E78,'Option 1'!$F$56:$F$61,0))</f>
        <v>0</v>
      </c>
      <c r="H78" s="9">
        <f>INDEX('Option 1'!S$56:S$61,MATCH(Summary!$C78&amp;$E78,'Option 1'!$F$56:$F$61,0))</f>
        <v>0</v>
      </c>
      <c r="I78" s="9">
        <f>INDEX('Option 1'!T$56:T$61,MATCH(Summary!$C78&amp;$E78,'Option 1'!$F$56:$F$61,0))</f>
        <v>0</v>
      </c>
      <c r="J78" s="9">
        <f>INDEX('Option 1'!U$56:U$61,MATCH(Summary!$C78&amp;$E78,'Option 1'!$F$56:$F$61,0))</f>
        <v>0</v>
      </c>
    </row>
    <row r="79" spans="1:10" s="100" customFormat="1" x14ac:dyDescent="0.2">
      <c r="C79" s="25" t="s">
        <v>25</v>
      </c>
      <c r="D79" s="162"/>
      <c r="E79" s="130"/>
      <c r="F79" s="26">
        <f>SUM(F73:F78)</f>
        <v>3558914.71074678</v>
      </c>
      <c r="G79" s="26">
        <f t="shared" ref="G79:J79" si="23">SUM(G73:G78)</f>
        <v>1164735.7235171278</v>
      </c>
      <c r="H79" s="26">
        <f t="shared" si="23"/>
        <v>0</v>
      </c>
      <c r="I79" s="26">
        <f t="shared" si="23"/>
        <v>1588564.8165809163</v>
      </c>
      <c r="J79" s="26">
        <f t="shared" si="23"/>
        <v>517660.32156316796</v>
      </c>
    </row>
    <row r="80" spans="1:10" x14ac:dyDescent="0.2">
      <c r="D80" s="2"/>
      <c r="F80" s="2"/>
      <c r="G80" s="2"/>
      <c r="H80" s="2"/>
      <c r="I80" s="2"/>
      <c r="J80" s="2"/>
    </row>
    <row r="81" spans="2:10" x14ac:dyDescent="0.2">
      <c r="D81" s="2"/>
      <c r="F81" s="2"/>
      <c r="G81" s="2"/>
      <c r="H81" s="2"/>
      <c r="I81" s="2"/>
      <c r="J81" s="2"/>
    </row>
    <row r="82" spans="2:10" s="100" customFormat="1" x14ac:dyDescent="0.2">
      <c r="B82" s="82" t="str">
        <f>B19</f>
        <v>Option 2</v>
      </c>
      <c r="C82" s="82"/>
      <c r="D82" s="82"/>
      <c r="E82" s="83"/>
      <c r="F82" s="84" t="str">
        <f>F$10</f>
        <v>2021/22</v>
      </c>
      <c r="G82" s="84" t="str">
        <f t="shared" ref="G82:J82" si="24">G$10</f>
        <v>2022/23</v>
      </c>
      <c r="H82" s="84" t="str">
        <f t="shared" si="24"/>
        <v>2023/24</v>
      </c>
      <c r="I82" s="84" t="str">
        <f t="shared" si="24"/>
        <v>2024/25</v>
      </c>
      <c r="J82" s="84" t="str">
        <f t="shared" si="24"/>
        <v>2025/26</v>
      </c>
    </row>
    <row r="83" spans="2:10" s="100" customFormat="1" x14ac:dyDescent="0.2">
      <c r="C83" s="100" t="s">
        <v>2</v>
      </c>
      <c r="D83" s="160" t="str">
        <f>$B$82&amp;C83&amp;E83</f>
        <v>Option 2LabourVPN</v>
      </c>
      <c r="E83" s="3" t="s">
        <v>0</v>
      </c>
      <c r="F83" s="9">
        <f>INDEX('Option 2'!Q$87:Q$92,MATCH(Summary!$C83&amp;$E83,'Option 2'!$F$87:$F$92,0))</f>
        <v>188234.97144797558</v>
      </c>
      <c r="G83" s="9">
        <f>INDEX('Option 2'!R$87:R$92,MATCH(Summary!$C83&amp;$E83,'Option 2'!$F$87:$F$92,0))</f>
        <v>1912017.1828057955</v>
      </c>
      <c r="H83" s="9">
        <f>INDEX('Option 2'!S$87:S$92,MATCH(Summary!$C83&amp;$E83,'Option 2'!$F$87:$F$92,0))</f>
        <v>778515.28952124692</v>
      </c>
      <c r="I83" s="9">
        <f>INDEX('Option 2'!T$87:T$92,MATCH(Summary!$C83&amp;$E83,'Option 2'!$F$87:$F$92,0))</f>
        <v>188234.97144797558</v>
      </c>
      <c r="J83" s="9">
        <f>INDEX('Option 2'!U$87:U$92,MATCH(Summary!$C83&amp;$E83,'Option 2'!$F$87:$F$92,0))</f>
        <v>188234.97144797558</v>
      </c>
    </row>
    <row r="84" spans="2:10" s="100" customFormat="1" x14ac:dyDescent="0.2">
      <c r="C84" s="100" t="s">
        <v>1</v>
      </c>
      <c r="D84" s="160" t="str">
        <f t="shared" ref="D84:D88" si="25">$B$82&amp;C84&amp;E84</f>
        <v>Option 2MaterialsVPN</v>
      </c>
      <c r="E84" s="3" t="s">
        <v>0</v>
      </c>
      <c r="F84" s="9">
        <f>INDEX('Option 2'!Q$87:Q$92,MATCH(Summary!$C84&amp;$E84,'Option 2'!$F$87:$F$92,0))</f>
        <v>0</v>
      </c>
      <c r="G84" s="9">
        <f>INDEX('Option 2'!R$87:R$92,MATCH(Summary!$C84&amp;$E84,'Option 2'!$F$87:$F$92,0))</f>
        <v>370665.1238688805</v>
      </c>
      <c r="H84" s="9">
        <f>INDEX('Option 2'!S$87:S$92,MATCH(Summary!$C84&amp;$E84,'Option 2'!$F$87:$F$92,0))</f>
        <v>0</v>
      </c>
      <c r="I84" s="9">
        <f>INDEX('Option 2'!T$87:T$92,MATCH(Summary!$C84&amp;$E84,'Option 2'!$F$87:$F$92,0))</f>
        <v>0</v>
      </c>
      <c r="J84" s="9">
        <f>INDEX('Option 2'!U$87:U$92,MATCH(Summary!$C84&amp;$E84,'Option 2'!$F$87:$F$92,0))</f>
        <v>0</v>
      </c>
    </row>
    <row r="85" spans="2:10" s="100" customFormat="1" x14ac:dyDescent="0.2">
      <c r="C85" s="100" t="s">
        <v>4</v>
      </c>
      <c r="D85" s="160" t="str">
        <f t="shared" si="25"/>
        <v>Option 2ContractsVPN</v>
      </c>
      <c r="E85" s="3" t="s">
        <v>0</v>
      </c>
      <c r="F85" s="9">
        <f>INDEX('Option 2'!Q$87:Q$92,MATCH(Summary!$C85&amp;$E85,'Option 2'!$F$87:$F$92,0))</f>
        <v>0</v>
      </c>
      <c r="G85" s="9">
        <f>INDEX('Option 2'!R$87:R$92,MATCH(Summary!$C85&amp;$E85,'Option 2'!$F$87:$F$92,0))</f>
        <v>0</v>
      </c>
      <c r="H85" s="9">
        <f>INDEX('Option 2'!S$87:S$92,MATCH(Summary!$C85&amp;$E85,'Option 2'!$F$87:$F$92,0))</f>
        <v>0</v>
      </c>
      <c r="I85" s="9">
        <f>INDEX('Option 2'!T$87:T$92,MATCH(Summary!$C85&amp;$E85,'Option 2'!$F$87:$F$92,0))</f>
        <v>0</v>
      </c>
      <c r="J85" s="9">
        <f>INDEX('Option 2'!U$87:U$92,MATCH(Summary!$C85&amp;$E85,'Option 2'!$F$87:$F$92,0))</f>
        <v>0</v>
      </c>
    </row>
    <row r="86" spans="2:10" s="100" customFormat="1" x14ac:dyDescent="0.2">
      <c r="C86" s="100" t="s">
        <v>2</v>
      </c>
      <c r="D86" s="160" t="str">
        <f t="shared" si="25"/>
        <v>Option 2LabourUE</v>
      </c>
      <c r="E86" s="3" t="s">
        <v>49</v>
      </c>
      <c r="F86" s="9">
        <f>INDEX('Option 2'!Q$87:Q$92,MATCH(Summary!$C86&amp;$E86,'Option 2'!$F$87:$F$92,0))</f>
        <v>109419.713450846</v>
      </c>
      <c r="G86" s="9">
        <f>INDEX('Option 2'!R$87:R$92,MATCH(Summary!$C86&amp;$E86,'Option 2'!$F$87:$F$92,0))</f>
        <v>1111442.6328240826</v>
      </c>
      <c r="H86" s="9">
        <f>INDEX('Option 2'!S$87:S$92,MATCH(Summary!$C86&amp;$E86,'Option 2'!$F$87:$F$92,0))</f>
        <v>452545.66269616206</v>
      </c>
      <c r="I86" s="9">
        <f>INDEX('Option 2'!T$87:T$92,MATCH(Summary!$C86&amp;$E86,'Option 2'!$F$87:$F$92,0))</f>
        <v>109419.713450846</v>
      </c>
      <c r="J86" s="9">
        <f>INDEX('Option 2'!U$87:U$92,MATCH(Summary!$C86&amp;$E86,'Option 2'!$F$87:$F$92,0))</f>
        <v>109419.713450846</v>
      </c>
    </row>
    <row r="87" spans="2:10" s="100" customFormat="1" x14ac:dyDescent="0.2">
      <c r="C87" s="100" t="s">
        <v>1</v>
      </c>
      <c r="D87" s="160" t="str">
        <f t="shared" si="25"/>
        <v>Option 2MaterialsUE</v>
      </c>
      <c r="E87" s="3" t="s">
        <v>49</v>
      </c>
      <c r="F87" s="9">
        <f>INDEX('Option 2'!Q$87:Q$92,MATCH(Summary!$C87&amp;$E87,'Option 2'!$F$87:$F$92,0))</f>
        <v>370665.1238688805</v>
      </c>
      <c r="G87" s="9">
        <f>INDEX('Option 2'!R$87:R$92,MATCH(Summary!$C87&amp;$E87,'Option 2'!$F$87:$F$92,0))</f>
        <v>0</v>
      </c>
      <c r="H87" s="9">
        <f>INDEX('Option 2'!S$87:S$92,MATCH(Summary!$C87&amp;$E87,'Option 2'!$F$87:$F$92,0))</f>
        <v>0</v>
      </c>
      <c r="I87" s="9">
        <f>INDEX('Option 2'!T$87:T$92,MATCH(Summary!$C87&amp;$E87,'Option 2'!$F$87:$F$92,0))</f>
        <v>0</v>
      </c>
      <c r="J87" s="9">
        <f>INDEX('Option 2'!U$87:U$92,MATCH(Summary!$C87&amp;$E87,'Option 2'!$F$87:$F$92,0))</f>
        <v>0</v>
      </c>
    </row>
    <row r="88" spans="2:10" s="100" customFormat="1" x14ac:dyDescent="0.2">
      <c r="C88" s="126" t="s">
        <v>4</v>
      </c>
      <c r="D88" s="161" t="str">
        <f t="shared" si="25"/>
        <v>Option 2ContractsUE</v>
      </c>
      <c r="E88" s="128" t="s">
        <v>49</v>
      </c>
      <c r="F88" s="9">
        <f>INDEX('Option 2'!Q$87:Q$92,MATCH(Summary!$C88&amp;$E88,'Option 2'!$F$87:$F$92,0))</f>
        <v>0</v>
      </c>
      <c r="G88" s="9">
        <f>INDEX('Option 2'!R$87:R$92,MATCH(Summary!$C88&amp;$E88,'Option 2'!$F$87:$F$92,0))</f>
        <v>0</v>
      </c>
      <c r="H88" s="9">
        <f>INDEX('Option 2'!S$87:S$92,MATCH(Summary!$C88&amp;$E88,'Option 2'!$F$87:$F$92,0))</f>
        <v>0</v>
      </c>
      <c r="I88" s="9">
        <f>INDEX('Option 2'!T$87:T$92,MATCH(Summary!$C88&amp;$E88,'Option 2'!$F$87:$F$92,0))</f>
        <v>0</v>
      </c>
      <c r="J88" s="9">
        <f>INDEX('Option 2'!U$87:U$92,MATCH(Summary!$C88&amp;$E88,'Option 2'!$F$87:$F$92,0))</f>
        <v>0</v>
      </c>
    </row>
    <row r="89" spans="2:10" s="100" customFormat="1" x14ac:dyDescent="0.2">
      <c r="C89" s="25" t="s">
        <v>25</v>
      </c>
      <c r="D89" s="162"/>
      <c r="E89" s="130"/>
      <c r="F89" s="26">
        <f>SUM(F83:F88)</f>
        <v>668319.80876770208</v>
      </c>
      <c r="G89" s="26">
        <f t="shared" ref="G89:J89" si="26">SUM(G83:G88)</f>
        <v>3394124.9394987589</v>
      </c>
      <c r="H89" s="26">
        <f t="shared" si="26"/>
        <v>1231060.9522174089</v>
      </c>
      <c r="I89" s="26">
        <f t="shared" si="26"/>
        <v>297654.68489882158</v>
      </c>
      <c r="J89" s="26">
        <f t="shared" si="26"/>
        <v>297654.68489882158</v>
      </c>
    </row>
    <row r="90" spans="2:10" x14ac:dyDescent="0.2">
      <c r="D90" s="2"/>
      <c r="F90" s="2"/>
      <c r="G90" s="2"/>
      <c r="H90" s="2"/>
      <c r="I90" s="2"/>
      <c r="J90" s="2"/>
    </row>
    <row r="91" spans="2:10" x14ac:dyDescent="0.2">
      <c r="D91" s="2"/>
      <c r="F91" s="2"/>
      <c r="G91" s="2"/>
      <c r="H91" s="2"/>
      <c r="I91" s="2"/>
      <c r="J91" s="2"/>
    </row>
    <row r="92" spans="2:10" s="100" customFormat="1" x14ac:dyDescent="0.2">
      <c r="B92" s="82" t="str">
        <f>B28</f>
        <v>Option 3</v>
      </c>
      <c r="C92" s="82"/>
      <c r="D92" s="82"/>
      <c r="E92" s="83"/>
      <c r="F92" s="84" t="str">
        <f>F$10</f>
        <v>2021/22</v>
      </c>
      <c r="G92" s="84" t="str">
        <f t="shared" ref="G92:J92" si="27">G$10</f>
        <v>2022/23</v>
      </c>
      <c r="H92" s="84" t="str">
        <f t="shared" si="27"/>
        <v>2023/24</v>
      </c>
      <c r="I92" s="84" t="str">
        <f t="shared" si="27"/>
        <v>2024/25</v>
      </c>
      <c r="J92" s="84" t="str">
        <f t="shared" si="27"/>
        <v>2025/26</v>
      </c>
    </row>
    <row r="93" spans="2:10" s="100" customFormat="1" x14ac:dyDescent="0.2">
      <c r="C93" s="100" t="s">
        <v>2</v>
      </c>
      <c r="D93" s="160" t="str">
        <f>$B$92&amp;C93&amp;E93</f>
        <v>Option 3LabourVPN</v>
      </c>
      <c r="E93" s="3" t="s">
        <v>0</v>
      </c>
      <c r="F93" s="9">
        <f>INDEX('Option 3'!Q$94:Q$99,MATCH(Summary!$C93&amp;$E93,'Option 3'!$F$94:$F$99,0))</f>
        <v>194122.62058618799</v>
      </c>
      <c r="G93" s="9">
        <f>INDEX('Option 3'!R$94:R$99,MATCH(Summary!$C93&amp;$E93,'Option 3'!$F$94:$F$99,0))</f>
        <v>1656513.0290021375</v>
      </c>
      <c r="H93" s="9">
        <f>INDEX('Option 3'!S$94:S$99,MATCH(Summary!$C93&amp;$E93,'Option 3'!$F$94:$F$99,0))</f>
        <v>957671.59489186073</v>
      </c>
      <c r="I93" s="9">
        <f>INDEX('Option 3'!T$94:T$99,MATCH(Summary!$C93&amp;$E93,'Option 3'!$F$94:$F$99,0))</f>
        <v>194122.62058618799</v>
      </c>
      <c r="J93" s="9">
        <f>INDEX('Option 3'!U$94:U$99,MATCH(Summary!$C93&amp;$E93,'Option 3'!$F$94:$F$99,0))</f>
        <v>194122.62058618799</v>
      </c>
    </row>
    <row r="94" spans="2:10" s="100" customFormat="1" x14ac:dyDescent="0.2">
      <c r="C94" s="100" t="s">
        <v>1</v>
      </c>
      <c r="D94" s="160" t="str">
        <f t="shared" ref="D94:D98" si="28">$B$92&amp;C94&amp;E94</f>
        <v>Option 3MaterialsVPN</v>
      </c>
      <c r="E94" s="3" t="s">
        <v>0</v>
      </c>
      <c r="F94" s="9">
        <f>INDEX('Option 3'!Q$94:Q$99,MATCH(Summary!$C94&amp;$E94,'Option 3'!$F$94:$F$99,0))</f>
        <v>0</v>
      </c>
      <c r="G94" s="9">
        <f>INDEX('Option 3'!R$94:R$99,MATCH(Summary!$C94&amp;$E94,'Option 3'!$F$94:$F$99,0))</f>
        <v>2065134.2615551914</v>
      </c>
      <c r="H94" s="9">
        <f>INDEX('Option 3'!S$94:S$99,MATCH(Summary!$C94&amp;$E94,'Option 3'!$F$94:$F$99,0))</f>
        <v>0</v>
      </c>
      <c r="I94" s="9">
        <f>INDEX('Option 3'!T$94:T$99,MATCH(Summary!$C94&amp;$E94,'Option 3'!$F$94:$F$99,0))</f>
        <v>0</v>
      </c>
      <c r="J94" s="9">
        <f>INDEX('Option 3'!U$94:U$99,MATCH(Summary!$C94&amp;$E94,'Option 3'!$F$94:$F$99,0))</f>
        <v>0</v>
      </c>
    </row>
    <row r="95" spans="2:10" s="100" customFormat="1" x14ac:dyDescent="0.2">
      <c r="C95" s="100" t="s">
        <v>4</v>
      </c>
      <c r="D95" s="160" t="str">
        <f t="shared" si="28"/>
        <v>Option 3ContractsVPN</v>
      </c>
      <c r="E95" s="3" t="s">
        <v>0</v>
      </c>
      <c r="F95" s="9">
        <f>INDEX('Option 3'!Q$94:Q$99,MATCH(Summary!$C95&amp;$E95,'Option 3'!$F$94:$F$99,0))</f>
        <v>0</v>
      </c>
      <c r="G95" s="9">
        <f>INDEX('Option 3'!R$94:R$99,MATCH(Summary!$C95&amp;$E95,'Option 3'!$F$94:$F$99,0))</f>
        <v>0</v>
      </c>
      <c r="H95" s="9">
        <f>INDEX('Option 3'!S$94:S$99,MATCH(Summary!$C95&amp;$E95,'Option 3'!$F$94:$F$99,0))</f>
        <v>0</v>
      </c>
      <c r="I95" s="9">
        <f>INDEX('Option 3'!T$94:T$99,MATCH(Summary!$C95&amp;$E95,'Option 3'!$F$94:$F$99,0))</f>
        <v>0</v>
      </c>
      <c r="J95" s="9">
        <f>INDEX('Option 3'!U$94:U$99,MATCH(Summary!$C95&amp;$E95,'Option 3'!$F$94:$F$99,0))</f>
        <v>0</v>
      </c>
    </row>
    <row r="96" spans="2:10" s="100" customFormat="1" x14ac:dyDescent="0.2">
      <c r="C96" s="100" t="s">
        <v>2</v>
      </c>
      <c r="D96" s="160" t="str">
        <f t="shared" si="28"/>
        <v>Option 3LabourUE</v>
      </c>
      <c r="E96" s="3" t="s">
        <v>49</v>
      </c>
      <c r="F96" s="9">
        <f>INDEX('Option 3'!Q$94:Q$99,MATCH(Summary!$C96&amp;$E96,'Option 3'!$F$94:$F$99,0))</f>
        <v>103532.06431263359</v>
      </c>
      <c r="G96" s="9">
        <f>INDEX('Option 3'!R$94:R$99,MATCH(Summary!$C96&amp;$E96,'Option 3'!$F$94:$F$99,0))</f>
        <v>1164735.7235171278</v>
      </c>
      <c r="H96" s="9">
        <f>INDEX('Option 3'!S$94:S$99,MATCH(Summary!$C96&amp;$E96,'Option 3'!$F$94:$F$99,0))</f>
        <v>452952.78136777197</v>
      </c>
      <c r="I96" s="9">
        <f>INDEX('Option 3'!T$94:T$99,MATCH(Summary!$C96&amp;$E96,'Option 3'!$F$94:$F$99,0))</f>
        <v>103532.06431263359</v>
      </c>
      <c r="J96" s="9">
        <f>INDEX('Option 3'!U$94:U$99,MATCH(Summary!$C96&amp;$E96,'Option 3'!$F$94:$F$99,0))</f>
        <v>103532.06431263359</v>
      </c>
    </row>
    <row r="97" spans="2:10" s="100" customFormat="1" x14ac:dyDescent="0.2">
      <c r="C97" s="100" t="s">
        <v>1</v>
      </c>
      <c r="D97" s="160" t="str">
        <f t="shared" si="28"/>
        <v>Option 3MaterialsUE</v>
      </c>
      <c r="E97" s="3" t="s">
        <v>49</v>
      </c>
      <c r="F97" s="9">
        <f>INDEX('Option 3'!Q$94:Q$99,MATCH(Summary!$C97&amp;$E97,'Option 3'!$F$94:$F$99,0))</f>
        <v>0</v>
      </c>
      <c r="G97" s="9">
        <f>INDEX('Option 3'!R$94:R$99,MATCH(Summary!$C97&amp;$E97,'Option 3'!$F$94:$F$99,0))</f>
        <v>1138471.4518829901</v>
      </c>
      <c r="H97" s="9">
        <f>INDEX('Option 3'!S$94:S$99,MATCH(Summary!$C97&amp;$E97,'Option 3'!$F$94:$F$99,0))</f>
        <v>0</v>
      </c>
      <c r="I97" s="9">
        <f>INDEX('Option 3'!T$94:T$99,MATCH(Summary!$C97&amp;$E97,'Option 3'!$F$94:$F$99,0))</f>
        <v>0</v>
      </c>
      <c r="J97" s="9">
        <f>INDEX('Option 3'!U$94:U$99,MATCH(Summary!$C97&amp;$E97,'Option 3'!$F$94:$F$99,0))</f>
        <v>0</v>
      </c>
    </row>
    <row r="98" spans="2:10" s="100" customFormat="1" x14ac:dyDescent="0.2">
      <c r="C98" s="126" t="s">
        <v>4</v>
      </c>
      <c r="D98" s="161" t="str">
        <f t="shared" si="28"/>
        <v>Option 3ContractsUE</v>
      </c>
      <c r="E98" s="128" t="s">
        <v>49</v>
      </c>
      <c r="F98" s="9">
        <f>INDEX('Option 3'!Q$94:Q$99,MATCH(Summary!$C98&amp;$E98,'Option 3'!$F$94:$F$99,0))</f>
        <v>0</v>
      </c>
      <c r="G98" s="9">
        <f>INDEX('Option 3'!R$94:R$99,MATCH(Summary!$C98&amp;$E98,'Option 3'!$F$94:$F$99,0))</f>
        <v>0</v>
      </c>
      <c r="H98" s="9">
        <f>INDEX('Option 3'!S$94:S$99,MATCH(Summary!$C98&amp;$E98,'Option 3'!$F$94:$F$99,0))</f>
        <v>0</v>
      </c>
      <c r="I98" s="9">
        <f>INDEX('Option 3'!T$94:T$99,MATCH(Summary!$C98&amp;$E98,'Option 3'!$F$94:$F$99,0))</f>
        <v>0</v>
      </c>
      <c r="J98" s="9">
        <f>INDEX('Option 3'!U$94:U$99,MATCH(Summary!$C98&amp;$E98,'Option 3'!$F$94:$F$99,0))</f>
        <v>0</v>
      </c>
    </row>
    <row r="99" spans="2:10" s="100" customFormat="1" x14ac:dyDescent="0.2">
      <c r="C99" s="25" t="s">
        <v>25</v>
      </c>
      <c r="D99" s="129"/>
      <c r="E99" s="130"/>
      <c r="F99" s="26">
        <f>SUM(F93:F98)</f>
        <v>297654.68489882158</v>
      </c>
      <c r="G99" s="26">
        <f t="shared" ref="G99:J99" si="29">SUM(G93:G98)</f>
        <v>6024854.465957446</v>
      </c>
      <c r="H99" s="26">
        <f t="shared" si="29"/>
        <v>1410624.3762596326</v>
      </c>
      <c r="I99" s="26">
        <f t="shared" si="29"/>
        <v>297654.68489882158</v>
      </c>
      <c r="J99" s="26">
        <f t="shared" si="29"/>
        <v>297654.68489882158</v>
      </c>
    </row>
    <row r="102" spans="2:10" s="100" customFormat="1" x14ac:dyDescent="0.2">
      <c r="B102" s="82"/>
      <c r="C102" s="82" t="s">
        <v>57</v>
      </c>
      <c r="D102" s="82"/>
      <c r="E102" s="83"/>
      <c r="F102" s="84" t="str">
        <f>F$10</f>
        <v>2021/22</v>
      </c>
      <c r="G102" s="84" t="str">
        <f t="shared" ref="G102:J102" si="30">G$10</f>
        <v>2022/23</v>
      </c>
      <c r="H102" s="84" t="str">
        <f t="shared" si="30"/>
        <v>2023/24</v>
      </c>
      <c r="I102" s="84" t="str">
        <f t="shared" si="30"/>
        <v>2024/25</v>
      </c>
      <c r="J102" s="84" t="str">
        <f t="shared" si="30"/>
        <v>2025/26</v>
      </c>
    </row>
    <row r="103" spans="2:10" s="100" customFormat="1" x14ac:dyDescent="0.2">
      <c r="B103" s="131" t="str">
        <f>B10</f>
        <v>Option 1</v>
      </c>
      <c r="C103" s="131"/>
      <c r="D103" s="131"/>
      <c r="E103" s="131"/>
      <c r="F103" s="132">
        <f>F79-'Option 1'!Q50</f>
        <v>0</v>
      </c>
      <c r="G103" s="132">
        <f>G79-'Option 1'!R50</f>
        <v>0</v>
      </c>
      <c r="H103" s="132">
        <f>H79-'Option 1'!S50</f>
        <v>0</v>
      </c>
      <c r="I103" s="132">
        <f>I79-'Option 1'!T50</f>
        <v>0</v>
      </c>
      <c r="J103" s="132">
        <f>J79-'Option 1'!U50</f>
        <v>0</v>
      </c>
    </row>
    <row r="104" spans="2:10" s="100" customFormat="1" x14ac:dyDescent="0.2">
      <c r="B104" s="131" t="str">
        <f>B19</f>
        <v>Option 2</v>
      </c>
      <c r="C104" s="131"/>
      <c r="D104" s="131"/>
      <c r="E104" s="131"/>
      <c r="F104" s="132">
        <f>F89-'Option 2'!Q66</f>
        <v>0</v>
      </c>
      <c r="G104" s="132">
        <f>G89-'Option 2'!R66</f>
        <v>0</v>
      </c>
      <c r="H104" s="132">
        <f>H89-'Option 2'!S66</f>
        <v>0</v>
      </c>
      <c r="I104" s="132">
        <f>I89-'Option 2'!T66</f>
        <v>0</v>
      </c>
      <c r="J104" s="132">
        <f>J89-'Option 2'!U66</f>
        <v>0</v>
      </c>
    </row>
    <row r="105" spans="2:10" s="100" customFormat="1" x14ac:dyDescent="0.2">
      <c r="B105" s="135" t="str">
        <f>B28</f>
        <v>Option 3</v>
      </c>
      <c r="C105" s="135"/>
      <c r="D105" s="135"/>
      <c r="E105" s="135"/>
      <c r="F105" s="136">
        <f>F99-'Option 3'!Q88</f>
        <v>0</v>
      </c>
      <c r="G105" s="136">
        <f>G99-'Option 3'!R88</f>
        <v>0</v>
      </c>
      <c r="H105" s="136">
        <f>H99-'Option 3'!S88</f>
        <v>0</v>
      </c>
      <c r="I105" s="136">
        <f>I99-'Option 3'!T88</f>
        <v>0</v>
      </c>
      <c r="J105" s="136">
        <f>J99-'Option 3'!U88</f>
        <v>0</v>
      </c>
    </row>
    <row r="106" spans="2:10" s="100" customFormat="1" x14ac:dyDescent="0.2">
      <c r="B106" s="131" t="str">
        <f>B10</f>
        <v>Option 1</v>
      </c>
      <c r="C106" s="131"/>
      <c r="D106" s="131"/>
      <c r="E106" s="131"/>
      <c r="F106" s="132">
        <f>F79-F14</f>
        <v>0</v>
      </c>
      <c r="G106" s="132">
        <f t="shared" ref="G106:J106" si="31">G79-G14</f>
        <v>0</v>
      </c>
      <c r="H106" s="132">
        <f t="shared" si="31"/>
        <v>0</v>
      </c>
      <c r="I106" s="132">
        <f t="shared" si="31"/>
        <v>0</v>
      </c>
      <c r="J106" s="132">
        <f t="shared" si="31"/>
        <v>0</v>
      </c>
    </row>
    <row r="107" spans="2:10" s="100" customFormat="1" x14ac:dyDescent="0.2">
      <c r="B107" s="131" t="str">
        <f>B19</f>
        <v>Option 2</v>
      </c>
      <c r="C107" s="131"/>
      <c r="D107" s="131"/>
      <c r="E107" s="131"/>
      <c r="F107" s="132">
        <f>F89-F23</f>
        <v>0</v>
      </c>
      <c r="G107" s="132">
        <f t="shared" ref="G107:J107" si="32">G89-G23</f>
        <v>0</v>
      </c>
      <c r="H107" s="132">
        <f t="shared" si="32"/>
        <v>0</v>
      </c>
      <c r="I107" s="132">
        <f t="shared" si="32"/>
        <v>0</v>
      </c>
      <c r="J107" s="132">
        <f t="shared" si="32"/>
        <v>0</v>
      </c>
    </row>
    <row r="108" spans="2:10" s="100" customFormat="1" x14ac:dyDescent="0.2">
      <c r="B108" s="131" t="str">
        <f>B28</f>
        <v>Option 3</v>
      </c>
      <c r="C108" s="131"/>
      <c r="D108" s="131"/>
      <c r="E108" s="131"/>
      <c r="F108" s="132">
        <f>F99-F58</f>
        <v>0</v>
      </c>
      <c r="G108" s="132">
        <f t="shared" ref="G108:J108" si="33">G99-G58</f>
        <v>0</v>
      </c>
      <c r="H108" s="132">
        <f t="shared" si="33"/>
        <v>0</v>
      </c>
      <c r="I108" s="132">
        <f t="shared" si="33"/>
        <v>0</v>
      </c>
      <c r="J108" s="132">
        <f t="shared" si="33"/>
        <v>0</v>
      </c>
    </row>
  </sheetData>
  <conditionalFormatting sqref="D7">
    <cfRule type="expression" dxfId="14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Assumptions!$A$20:$A$21</xm:f>
          </x14:formula1>
          <xm:sqref>D6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0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59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58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7" t="s">
        <v>3</v>
      </c>
      <c r="B3" s="35"/>
      <c r="C3" s="35"/>
      <c r="D3" s="35"/>
      <c r="E3" s="35"/>
      <c r="F3" s="35"/>
      <c r="G3" s="35"/>
      <c r="H3" s="35"/>
      <c r="I3" s="35"/>
      <c r="J3" s="3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4" customFormat="1" ht="12.75" customHeight="1" x14ac:dyDescent="0.25">
      <c r="A4" s="33" t="s">
        <v>8</v>
      </c>
      <c r="B4" s="97" t="s">
        <v>3</v>
      </c>
      <c r="C4" s="33" t="s">
        <v>6</v>
      </c>
      <c r="D4" s="33" t="s">
        <v>7</v>
      </c>
    </row>
    <row r="5" spans="1:35" s="34" customFormat="1" ht="12.75" customHeight="1" x14ac:dyDescent="0.25">
      <c r="A5" s="33"/>
      <c r="B5" s="97"/>
      <c r="C5" s="33"/>
      <c r="D5" s="33"/>
    </row>
    <row r="6" spans="1:35" s="34" customFormat="1" ht="12.75" customHeight="1" x14ac:dyDescent="0.25">
      <c r="A6" s="2" t="s">
        <v>14</v>
      </c>
      <c r="B6" s="106">
        <v>2.75E-2</v>
      </c>
      <c r="C6" s="2"/>
      <c r="D6" s="33"/>
    </row>
    <row r="7" spans="1:35" s="34" customFormat="1" ht="12.75" customHeight="1" x14ac:dyDescent="0.25">
      <c r="A7" s="33"/>
      <c r="B7" s="97"/>
      <c r="C7" s="33"/>
      <c r="D7" s="33"/>
    </row>
    <row r="8" spans="1:35" s="34" customFormat="1" ht="12.75" customHeight="1" x14ac:dyDescent="0.25">
      <c r="A8" s="99" t="s">
        <v>35</v>
      </c>
      <c r="B8" s="108">
        <v>2018</v>
      </c>
      <c r="C8" t="s">
        <v>38</v>
      </c>
      <c r="D8" s="33"/>
    </row>
    <row r="9" spans="1:35" s="34" customFormat="1" ht="12.75" customHeight="1" x14ac:dyDescent="0.25">
      <c r="A9" s="99"/>
      <c r="B9" s="99"/>
      <c r="C9" s="99"/>
      <c r="D9" s="99"/>
      <c r="E9" s="99"/>
    </row>
    <row r="10" spans="1:35" ht="12.75" customHeight="1" x14ac:dyDescent="0.25">
      <c r="A10" s="85"/>
      <c r="B10" s="85"/>
      <c r="C10" s="85"/>
      <c r="D10" s="85">
        <v>2015</v>
      </c>
      <c r="E10" s="85">
        <v>2016</v>
      </c>
      <c r="F10" s="85">
        <v>2017</v>
      </c>
      <c r="G10" s="85">
        <v>2018</v>
      </c>
      <c r="H10" s="85">
        <v>2019</v>
      </c>
      <c r="I10" s="86">
        <v>2020</v>
      </c>
      <c r="J10" s="86" t="s">
        <v>36</v>
      </c>
    </row>
    <row r="11" spans="1:35" ht="12.75" customHeight="1" x14ac:dyDescent="0.25">
      <c r="A11" s="148" t="s">
        <v>106</v>
      </c>
      <c r="B11" s="28"/>
      <c r="C11" s="104"/>
      <c r="D11" s="149" t="s">
        <v>109</v>
      </c>
      <c r="E11" s="149" t="s">
        <v>109</v>
      </c>
      <c r="F11" s="149" t="s">
        <v>109</v>
      </c>
      <c r="G11" s="149" t="s">
        <v>109</v>
      </c>
      <c r="H11" s="149" t="s">
        <v>109</v>
      </c>
      <c r="I11" s="149" t="s">
        <v>109</v>
      </c>
      <c r="J11" s="149" t="s">
        <v>110</v>
      </c>
    </row>
    <row r="12" spans="1:35" ht="12.75" customHeight="1" x14ac:dyDescent="0.25">
      <c r="A12" s="150" t="s">
        <v>107</v>
      </c>
      <c r="B12" s="4"/>
      <c r="C12" s="150"/>
      <c r="D12" s="151" t="s">
        <v>30</v>
      </c>
      <c r="E12" s="151" t="s">
        <v>30</v>
      </c>
      <c r="F12" s="151" t="s">
        <v>30</v>
      </c>
      <c r="G12" s="151" t="s">
        <v>30</v>
      </c>
      <c r="H12" s="151" t="s">
        <v>30</v>
      </c>
      <c r="I12" s="152" t="s">
        <v>31</v>
      </c>
      <c r="J12" s="152" t="s">
        <v>31</v>
      </c>
    </row>
    <row r="13" spans="1:35" ht="12.75" customHeight="1" x14ac:dyDescent="0.25">
      <c r="A13" s="100" t="s">
        <v>108</v>
      </c>
      <c r="B13" s="100"/>
      <c r="C13" s="87"/>
      <c r="D13" s="88"/>
      <c r="E13" s="106">
        <v>1.0232558139534831E-2</v>
      </c>
      <c r="F13" s="106">
        <v>1.9337016574585641E-2</v>
      </c>
      <c r="G13" s="106">
        <v>2.0776874435411097E-2</v>
      </c>
      <c r="H13" s="106">
        <v>1.5929203539823078E-2</v>
      </c>
      <c r="I13" s="106">
        <v>2.000000000000024E-2</v>
      </c>
      <c r="J13" s="106">
        <v>2.1998043050963867E-2</v>
      </c>
    </row>
    <row r="14" spans="1:35" ht="12.75" customHeight="1" x14ac:dyDescent="0.25">
      <c r="A14" s="94" t="s">
        <v>32</v>
      </c>
      <c r="B14" s="92"/>
      <c r="C14" s="92"/>
      <c r="D14" s="107">
        <v>1</v>
      </c>
      <c r="E14" s="95">
        <f t="shared" ref="E14:J14" si="0">D14*(1+E13)</f>
        <v>1.0102325581395348</v>
      </c>
      <c r="F14" s="95">
        <f t="shared" si="0"/>
        <v>1.029767441860465</v>
      </c>
      <c r="G14" s="95">
        <f t="shared" si="0"/>
        <v>1.0511627906976744</v>
      </c>
      <c r="H14" s="95">
        <f t="shared" si="0"/>
        <v>1.067906976744186</v>
      </c>
      <c r="I14" s="95">
        <f t="shared" si="0"/>
        <v>1.0892651162790701</v>
      </c>
      <c r="J14" s="95">
        <f t="shared" si="0"/>
        <v>1.1132268172008901</v>
      </c>
    </row>
    <row r="15" spans="1:35" ht="12.75" customHeight="1" x14ac:dyDescent="0.25">
      <c r="A15" s="92"/>
      <c r="B15" s="92"/>
      <c r="C15" s="92"/>
      <c r="D15" s="93"/>
      <c r="E15" s="93"/>
      <c r="F15" s="93"/>
      <c r="G15" s="93"/>
      <c r="H15" s="93"/>
    </row>
    <row r="16" spans="1:35" ht="12.75" customHeight="1" x14ac:dyDescent="0.25">
      <c r="A16" s="99" t="s">
        <v>37</v>
      </c>
      <c r="B16" s="98">
        <f>B8</f>
        <v>2018</v>
      </c>
      <c r="C16" s="100" t="s">
        <v>38</v>
      </c>
      <c r="G16" s="89"/>
      <c r="H16" s="89"/>
    </row>
    <row r="17" spans="1:8" ht="12.75" customHeight="1" x14ac:dyDescent="0.25">
      <c r="A17" s="99" t="s">
        <v>34</v>
      </c>
      <c r="B17" s="105" t="s">
        <v>36</v>
      </c>
      <c r="C17" s="100" t="s">
        <v>39</v>
      </c>
      <c r="G17" s="89"/>
      <c r="H17" s="89"/>
    </row>
    <row r="18" spans="1:8" ht="12.75" customHeight="1" x14ac:dyDescent="0.25">
      <c r="A18" s="99" t="s">
        <v>33</v>
      </c>
      <c r="B18" s="96">
        <f>INDEX($D$14:$J$14, MATCH(B17, $D$10:$J$10,0))/INDEX($D$14:$J$14, MATCH(B16, $D$10:$J$10,0))</f>
        <v>1.0590432110539443</v>
      </c>
      <c r="C18" s="117"/>
      <c r="D18" s="90"/>
      <c r="E18" s="87"/>
      <c r="F18" s="87"/>
      <c r="G18" s="87"/>
      <c r="H18" s="87"/>
    </row>
    <row r="19" spans="1:8" ht="12.75" customHeight="1" x14ac:dyDescent="0.25">
      <c r="A19" s="89"/>
      <c r="B19" s="91"/>
      <c r="C19" s="91"/>
      <c r="D19" s="91"/>
      <c r="E19" s="91"/>
      <c r="F19" s="91"/>
      <c r="G19" s="91"/>
      <c r="H19" s="89"/>
    </row>
    <row r="20" spans="1:8" ht="12.75" customHeight="1" x14ac:dyDescent="0.25">
      <c r="A20" s="99"/>
      <c r="B20" s="99"/>
    </row>
    <row r="21" spans="1:8" ht="12.75" customHeight="1" x14ac:dyDescent="0.25"/>
    <row r="22" spans="1:8" ht="12.75" customHeight="1" x14ac:dyDescent="0.25"/>
    <row r="23" spans="1:8" ht="12.75" customHeight="1" x14ac:dyDescent="0.25"/>
    <row r="24" spans="1:8" ht="12.75" customHeight="1" x14ac:dyDescent="0.25"/>
    <row r="25" spans="1:8" ht="12.75" customHeight="1" x14ac:dyDescent="0.25">
      <c r="A25" s="124" t="s">
        <v>102</v>
      </c>
      <c r="B25" s="141"/>
    </row>
    <row r="26" spans="1:8" ht="12.75" customHeight="1" x14ac:dyDescent="0.25">
      <c r="A26" s="99" t="s">
        <v>103</v>
      </c>
      <c r="B26" s="142">
        <v>835781</v>
      </c>
    </row>
    <row r="27" spans="1:8" ht="12.75" customHeight="1" x14ac:dyDescent="0.25">
      <c r="A27" s="99" t="s">
        <v>104</v>
      </c>
      <c r="B27" s="142">
        <v>342669</v>
      </c>
    </row>
    <row r="28" spans="1:8" ht="12.75" customHeight="1" x14ac:dyDescent="0.25">
      <c r="A28" s="153" t="s">
        <v>105</v>
      </c>
      <c r="B28" s="156">
        <v>685025</v>
      </c>
    </row>
    <row r="29" spans="1:8" ht="12.75" customHeight="1" x14ac:dyDescent="0.25">
      <c r="A29" s="99" t="s">
        <v>25</v>
      </c>
      <c r="B29" s="143">
        <f>SUM(B26:B28)</f>
        <v>1863475</v>
      </c>
    </row>
    <row r="30" spans="1:8" ht="12.75" customHeight="1" x14ac:dyDescent="0.25"/>
    <row r="31" spans="1:8" ht="12.75" customHeight="1" x14ac:dyDescent="0.25">
      <c r="A31" s="99" t="s">
        <v>0</v>
      </c>
      <c r="B31" s="144">
        <f>SUM(B26:B27)/$B$29</f>
        <v>0.63239378043708661</v>
      </c>
    </row>
    <row r="32" spans="1:8" ht="12.75" customHeight="1" x14ac:dyDescent="0.25">
      <c r="A32" s="153" t="s">
        <v>105</v>
      </c>
      <c r="B32" s="154">
        <f>B28/$B$29</f>
        <v>0.36760621956291339</v>
      </c>
    </row>
    <row r="33" spans="1:2" ht="12.75" customHeight="1" x14ac:dyDescent="0.25">
      <c r="A33" s="155" t="s">
        <v>25</v>
      </c>
      <c r="B33" s="145">
        <f>SUM(B31:B32)</f>
        <v>1</v>
      </c>
    </row>
    <row r="34" spans="1:2" ht="12.75" customHeight="1" x14ac:dyDescent="0.25"/>
    <row r="35" spans="1:2" ht="12.75" customHeight="1" x14ac:dyDescent="0.25"/>
    <row r="36" spans="1:2" ht="12.75" customHeight="1" x14ac:dyDescent="0.25"/>
    <row r="37" spans="1:2" ht="12.75" customHeight="1" x14ac:dyDescent="0.25"/>
    <row r="38" spans="1:2" ht="12.75" customHeight="1" x14ac:dyDescent="0.25"/>
    <row r="39" spans="1:2" ht="12.75" customHeight="1" x14ac:dyDescent="0.25"/>
    <row r="40" spans="1:2" ht="12.75" customHeight="1" x14ac:dyDescent="0.25"/>
    <row r="41" spans="1:2" ht="12.75" customHeight="1" x14ac:dyDescent="0.25"/>
    <row r="42" spans="1:2" ht="12.75" customHeight="1" x14ac:dyDescent="0.25"/>
    <row r="43" spans="1:2" ht="12.75" customHeight="1" x14ac:dyDescent="0.25"/>
    <row r="44" spans="1:2" ht="12.75" customHeight="1" x14ac:dyDescent="0.25"/>
    <row r="45" spans="1:2" ht="12.75" customHeight="1" x14ac:dyDescent="0.25"/>
    <row r="46" spans="1:2" ht="12.75" customHeight="1" x14ac:dyDescent="0.25"/>
    <row r="47" spans="1:2" ht="12.75" customHeight="1" x14ac:dyDescent="0.25"/>
    <row r="48" spans="1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</sheetData>
  <dataValidations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A66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71.7109375" style="1" bestFit="1" customWidth="1"/>
    <col min="4" max="4" width="11.5703125" style="100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6" ht="21" x14ac:dyDescent="0.35">
      <c r="A1" s="18" t="str">
        <f>Assumptions!A1</f>
        <v>BIBW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9" customFormat="1" ht="15" x14ac:dyDescent="0.25">
      <c r="A3" s="37" t="s">
        <v>29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20" t="b">
        <f>SUM(W7:W51)=0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100"/>
      <c r="C7" s="122" t="s">
        <v>44</v>
      </c>
      <c r="D7" s="122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100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3" t="s">
        <v>16</v>
      </c>
      <c r="L8" s="123" t="s">
        <v>17</v>
      </c>
      <c r="M8" s="123" t="s">
        <v>18</v>
      </c>
      <c r="N8" s="123" t="s">
        <v>19</v>
      </c>
      <c r="O8" s="123" t="s">
        <v>20</v>
      </c>
      <c r="P8" s="4"/>
      <c r="Q8" s="123" t="s">
        <v>16</v>
      </c>
      <c r="R8" s="123" t="s">
        <v>17</v>
      </c>
      <c r="S8" s="123" t="s">
        <v>18</v>
      </c>
      <c r="T8" s="123" t="s">
        <v>19</v>
      </c>
      <c r="U8" s="123" t="s">
        <v>20</v>
      </c>
    </row>
    <row r="9" spans="1:26" ht="12.75" customHeight="1" x14ac:dyDescent="0.2">
      <c r="A9" s="100"/>
      <c r="B9" s="100"/>
      <c r="C9" s="4"/>
      <c r="D9" s="4"/>
      <c r="E9" s="4"/>
      <c r="F9" s="4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6" ht="12.75" customHeight="1" x14ac:dyDescent="0.2">
      <c r="A10" s="7"/>
      <c r="C10" s="109" t="s">
        <v>60</v>
      </c>
      <c r="D10" s="110" t="s">
        <v>0</v>
      </c>
      <c r="E10" s="110" t="s">
        <v>5</v>
      </c>
      <c r="F10" s="111" t="s">
        <v>2</v>
      </c>
      <c r="G10" s="3"/>
      <c r="H10" s="112">
        <v>122.2</v>
      </c>
      <c r="I10" s="12" t="s">
        <v>51</v>
      </c>
      <c r="J10" s="3"/>
      <c r="K10" s="133">
        <v>17500</v>
      </c>
      <c r="L10" s="133"/>
      <c r="M10" s="113"/>
      <c r="N10" s="113"/>
      <c r="O10" s="113"/>
      <c r="P10" s="3"/>
      <c r="Q10" s="8">
        <f t="shared" ref="Q10:U12" si="0">K10*$H10</f>
        <v>2138500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/>
      <c r="C11" s="109" t="s">
        <v>61</v>
      </c>
      <c r="D11" s="110" t="s">
        <v>0</v>
      </c>
      <c r="E11" s="110" t="s">
        <v>5</v>
      </c>
      <c r="F11" s="111" t="s">
        <v>2</v>
      </c>
      <c r="G11" s="3"/>
      <c r="H11" s="112">
        <v>122.2</v>
      </c>
      <c r="I11" s="12" t="s">
        <v>51</v>
      </c>
      <c r="J11" s="3"/>
      <c r="K11" s="133"/>
      <c r="L11" s="133">
        <v>5000</v>
      </c>
      <c r="M11" s="113"/>
      <c r="N11" s="113"/>
      <c r="O11" s="113"/>
      <c r="P11" s="3"/>
      <c r="Q11" s="8">
        <f t="shared" si="0"/>
        <v>0</v>
      </c>
      <c r="R11" s="8">
        <f t="shared" si="0"/>
        <v>611000</v>
      </c>
      <c r="S11" s="8">
        <f t="shared" si="0"/>
        <v>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/>
      <c r="C12" s="109" t="s">
        <v>66</v>
      </c>
      <c r="D12" s="110" t="s">
        <v>49</v>
      </c>
      <c r="E12" s="110" t="s">
        <v>5</v>
      </c>
      <c r="F12" s="111" t="s">
        <v>2</v>
      </c>
      <c r="G12" s="3"/>
      <c r="H12" s="112">
        <v>122.2</v>
      </c>
      <c r="I12" s="12" t="s">
        <v>51</v>
      </c>
      <c r="J12" s="3"/>
      <c r="K12" s="133">
        <v>5000</v>
      </c>
      <c r="L12" s="133"/>
      <c r="M12" s="133"/>
      <c r="N12" s="133"/>
      <c r="O12" s="133"/>
      <c r="P12" s="3"/>
      <c r="Q12" s="8">
        <f t="shared" si="0"/>
        <v>611000</v>
      </c>
      <c r="R12" s="8">
        <f t="shared" si="0"/>
        <v>0</v>
      </c>
      <c r="S12" s="8">
        <f t="shared" si="0"/>
        <v>0</v>
      </c>
      <c r="T12" s="8">
        <f t="shared" si="0"/>
        <v>0</v>
      </c>
      <c r="U12" s="8">
        <f t="shared" si="0"/>
        <v>0</v>
      </c>
    </row>
    <row r="13" spans="1:26" ht="12.75" customHeight="1" x14ac:dyDescent="0.25">
      <c r="A13" s="7"/>
      <c r="C13" s="109" t="s">
        <v>67</v>
      </c>
      <c r="D13" s="110" t="s">
        <v>49</v>
      </c>
      <c r="E13" s="110" t="s">
        <v>5</v>
      </c>
      <c r="F13" s="111" t="s">
        <v>2</v>
      </c>
      <c r="G13" s="3"/>
      <c r="H13" s="112">
        <v>122.2</v>
      </c>
      <c r="I13" s="12" t="s">
        <v>51</v>
      </c>
      <c r="J13" s="3"/>
      <c r="K13" s="133">
        <v>5000</v>
      </c>
      <c r="L13" s="133"/>
      <c r="M13" s="133"/>
      <c r="N13" s="133"/>
      <c r="O13" s="133"/>
      <c r="P13" s="3"/>
      <c r="Q13" s="8">
        <f t="shared" ref="Q13:Q16" si="1">K13*$H13</f>
        <v>611000</v>
      </c>
      <c r="R13" s="8">
        <f t="shared" ref="R13:R16" si="2">L13*$H13</f>
        <v>0</v>
      </c>
      <c r="S13" s="8">
        <f t="shared" ref="S13:S16" si="3">M13*$H13</f>
        <v>0</v>
      </c>
      <c r="T13" s="8">
        <f t="shared" ref="T13:T16" si="4">N13*$H13</f>
        <v>0</v>
      </c>
      <c r="U13" s="8">
        <f t="shared" ref="U13:U16" si="5">O13*$H13</f>
        <v>0</v>
      </c>
      <c r="Z13"/>
    </row>
    <row r="14" spans="1:26" s="100" customFormat="1" ht="12.75" customHeight="1" x14ac:dyDescent="0.25">
      <c r="A14" s="7"/>
      <c r="C14" s="109" t="s">
        <v>68</v>
      </c>
      <c r="D14" s="110" t="s">
        <v>49</v>
      </c>
      <c r="E14" s="110" t="s">
        <v>5</v>
      </c>
      <c r="F14" s="111" t="s">
        <v>2</v>
      </c>
      <c r="G14" s="3"/>
      <c r="H14" s="112">
        <v>122.2</v>
      </c>
      <c r="I14" s="12" t="s">
        <v>51</v>
      </c>
      <c r="J14" s="3"/>
      <c r="K14" s="133"/>
      <c r="L14" s="133">
        <v>4000</v>
      </c>
      <c r="M14" s="133"/>
      <c r="N14" s="133"/>
      <c r="O14" s="133">
        <v>4000</v>
      </c>
      <c r="P14" s="3"/>
      <c r="Q14" s="8">
        <f t="shared" si="1"/>
        <v>0</v>
      </c>
      <c r="R14" s="8">
        <f t="shared" si="2"/>
        <v>488800</v>
      </c>
      <c r="S14" s="8">
        <f t="shared" si="3"/>
        <v>0</v>
      </c>
      <c r="T14" s="8">
        <f t="shared" si="4"/>
        <v>0</v>
      </c>
      <c r="U14" s="8">
        <f t="shared" si="5"/>
        <v>488800</v>
      </c>
      <c r="Z14"/>
    </row>
    <row r="15" spans="1:26" s="100" customFormat="1" ht="12.75" customHeight="1" x14ac:dyDescent="0.25">
      <c r="A15" s="7"/>
      <c r="C15" s="109"/>
      <c r="D15" s="110"/>
      <c r="E15" s="110"/>
      <c r="F15" s="111"/>
      <c r="G15" s="3"/>
      <c r="H15" s="112"/>
      <c r="I15" s="12" t="s">
        <v>51</v>
      </c>
      <c r="J15" s="3"/>
      <c r="K15" s="113"/>
      <c r="L15" s="113"/>
      <c r="M15" s="113"/>
      <c r="N15" s="113"/>
      <c r="O15" s="113"/>
      <c r="P15" s="3"/>
      <c r="Q15" s="8">
        <f t="shared" si="1"/>
        <v>0</v>
      </c>
      <c r="R15" s="8">
        <f t="shared" si="2"/>
        <v>0</v>
      </c>
      <c r="S15" s="8">
        <f t="shared" si="3"/>
        <v>0</v>
      </c>
      <c r="T15" s="8">
        <f t="shared" si="4"/>
        <v>0</v>
      </c>
      <c r="U15" s="8">
        <f t="shared" si="5"/>
        <v>0</v>
      </c>
      <c r="Z15"/>
    </row>
    <row r="16" spans="1:26" ht="12.75" customHeight="1" x14ac:dyDescent="0.25">
      <c r="A16" s="7"/>
      <c r="C16" s="109"/>
      <c r="D16" s="110"/>
      <c r="E16" s="110"/>
      <c r="F16" s="111"/>
      <c r="G16" s="3"/>
      <c r="H16" s="112"/>
      <c r="I16" s="12" t="s">
        <v>51</v>
      </c>
      <c r="J16" s="3"/>
      <c r="K16" s="113"/>
      <c r="L16" s="113"/>
      <c r="M16" s="113"/>
      <c r="N16" s="113"/>
      <c r="O16" s="113"/>
      <c r="P16" s="3"/>
      <c r="Q16" s="8">
        <f t="shared" si="1"/>
        <v>0</v>
      </c>
      <c r="R16" s="8">
        <f t="shared" si="2"/>
        <v>0</v>
      </c>
      <c r="S16" s="8">
        <f t="shared" si="3"/>
        <v>0</v>
      </c>
      <c r="T16" s="8">
        <f t="shared" si="4"/>
        <v>0</v>
      </c>
      <c r="U16" s="8">
        <f t="shared" si="5"/>
        <v>0</v>
      </c>
      <c r="Z16"/>
    </row>
    <row r="17" spans="1:27" ht="12.75" customHeight="1" x14ac:dyDescent="0.25">
      <c r="A17" s="7"/>
      <c r="C17" s="109"/>
      <c r="D17" s="110"/>
      <c r="E17" s="110"/>
      <c r="F17" s="111"/>
      <c r="G17" s="3"/>
      <c r="H17" s="112"/>
      <c r="I17" s="12" t="s">
        <v>51</v>
      </c>
      <c r="J17" s="3"/>
      <c r="K17" s="115"/>
      <c r="L17" s="115"/>
      <c r="M17" s="115"/>
      <c r="N17" s="113"/>
      <c r="O17" s="115"/>
      <c r="P17" s="3"/>
      <c r="Q17" s="8">
        <f t="shared" ref="Q17:U18" si="6">K17*$H17</f>
        <v>0</v>
      </c>
      <c r="R17" s="8">
        <f t="shared" si="6"/>
        <v>0</v>
      </c>
      <c r="S17" s="8">
        <f t="shared" si="6"/>
        <v>0</v>
      </c>
      <c r="T17" s="8">
        <f t="shared" si="6"/>
        <v>0</v>
      </c>
      <c r="U17" s="8">
        <f t="shared" si="6"/>
        <v>0</v>
      </c>
      <c r="Z17"/>
    </row>
    <row r="18" spans="1:27" ht="12.75" customHeight="1" x14ac:dyDescent="0.25">
      <c r="A18" s="7"/>
      <c r="C18" s="116"/>
      <c r="D18" s="110"/>
      <c r="E18" s="110"/>
      <c r="F18" s="111"/>
      <c r="G18" s="3"/>
      <c r="H18" s="112"/>
      <c r="I18" s="12" t="s">
        <v>51</v>
      </c>
      <c r="J18" s="3"/>
      <c r="K18" s="114"/>
      <c r="L18" s="115"/>
      <c r="M18" s="114"/>
      <c r="N18" s="115"/>
      <c r="O18" s="114"/>
      <c r="P18" s="3"/>
      <c r="Q18" s="8">
        <f t="shared" si="6"/>
        <v>0</v>
      </c>
      <c r="R18" s="8">
        <f t="shared" si="6"/>
        <v>0</v>
      </c>
      <c r="S18" s="8">
        <f t="shared" si="6"/>
        <v>0</v>
      </c>
      <c r="T18" s="8">
        <f t="shared" si="6"/>
        <v>0</v>
      </c>
      <c r="U18" s="8">
        <f t="shared" si="6"/>
        <v>0</v>
      </c>
      <c r="Z18"/>
    </row>
    <row r="19" spans="1:27" ht="12.75" customHeight="1" x14ac:dyDescent="0.25">
      <c r="A19" s="7"/>
      <c r="C19" s="100"/>
      <c r="E19" s="100"/>
      <c r="F19" s="100"/>
      <c r="G19" s="3"/>
      <c r="H19" s="100"/>
      <c r="J19" s="3"/>
      <c r="K19" s="100"/>
      <c r="L19" s="100"/>
      <c r="M19" s="100"/>
      <c r="N19" s="100"/>
      <c r="O19" s="100"/>
      <c r="P19" s="3"/>
      <c r="Z19"/>
    </row>
    <row r="20" spans="1:27" ht="12.75" customHeight="1" x14ac:dyDescent="0.25">
      <c r="A20" s="7"/>
      <c r="C20" s="100"/>
      <c r="E20" s="100"/>
      <c r="F20" s="100"/>
      <c r="G20" s="3"/>
      <c r="H20" s="100"/>
      <c r="J20" s="3"/>
      <c r="K20" s="100"/>
      <c r="L20" s="100"/>
      <c r="M20" s="100"/>
      <c r="N20" s="100"/>
      <c r="O20" s="100"/>
      <c r="P20" s="3"/>
      <c r="Z20"/>
    </row>
    <row r="21" spans="1:27" ht="12.75" customHeight="1" x14ac:dyDescent="0.25">
      <c r="A21" s="7"/>
      <c r="C21" s="109" t="s">
        <v>62</v>
      </c>
      <c r="D21" s="110" t="s">
        <v>0</v>
      </c>
      <c r="E21" s="110" t="s">
        <v>5</v>
      </c>
      <c r="F21" s="111" t="s">
        <v>1</v>
      </c>
      <c r="G21" s="3"/>
      <c r="H21" s="113">
        <v>500000</v>
      </c>
      <c r="I21" s="12" t="s">
        <v>52</v>
      </c>
      <c r="J21" s="3"/>
      <c r="K21" s="114"/>
      <c r="L21" s="115"/>
      <c r="M21" s="114"/>
      <c r="N21" s="115">
        <v>1</v>
      </c>
      <c r="O21" s="114"/>
      <c r="P21" s="3"/>
      <c r="Q21" s="8">
        <f t="shared" ref="Q21:Q26" si="7">K21*$H21</f>
        <v>0</v>
      </c>
      <c r="R21" s="8">
        <f t="shared" ref="R21:R26" si="8">L21*$H21</f>
        <v>0</v>
      </c>
      <c r="S21" s="8">
        <f t="shared" ref="S21:S26" si="9">M21*$H21</f>
        <v>0</v>
      </c>
      <c r="T21" s="8">
        <f t="shared" ref="T21:T26" si="10">N21*$H21</f>
        <v>500000</v>
      </c>
      <c r="U21" s="8">
        <f t="shared" ref="U21:U26" si="11">O21*$H21</f>
        <v>0</v>
      </c>
      <c r="Z21"/>
    </row>
    <row r="22" spans="1:27" s="100" customFormat="1" ht="12.75" customHeight="1" x14ac:dyDescent="0.25">
      <c r="A22" s="7"/>
      <c r="C22" s="109" t="s">
        <v>63</v>
      </c>
      <c r="D22" s="110" t="s">
        <v>0</v>
      </c>
      <c r="E22" s="110" t="s">
        <v>5</v>
      </c>
      <c r="F22" s="111" t="s">
        <v>1</v>
      </c>
      <c r="G22" s="3"/>
      <c r="H22" s="113">
        <v>500000</v>
      </c>
      <c r="I22" s="12" t="s">
        <v>52</v>
      </c>
      <c r="J22" s="3"/>
      <c r="K22" s="114"/>
      <c r="L22" s="115"/>
      <c r="M22" s="114"/>
      <c r="N22" s="115">
        <v>1</v>
      </c>
      <c r="O22" s="114"/>
      <c r="P22" s="3"/>
      <c r="Q22" s="8">
        <f>K22*$H22</f>
        <v>0</v>
      </c>
      <c r="R22" s="8">
        <f>L22*$H22</f>
        <v>0</v>
      </c>
      <c r="S22" s="8">
        <f>M22*$H22</f>
        <v>0</v>
      </c>
      <c r="T22" s="8">
        <f>N22*$H22</f>
        <v>500000</v>
      </c>
      <c r="U22" s="8">
        <f>O22*$H22</f>
        <v>0</v>
      </c>
      <c r="Z22"/>
    </row>
    <row r="23" spans="1:27" s="100" customFormat="1" ht="12.75" customHeight="1" x14ac:dyDescent="0.25">
      <c r="A23" s="7"/>
      <c r="C23" s="109" t="s">
        <v>64</v>
      </c>
      <c r="D23" s="110" t="s">
        <v>49</v>
      </c>
      <c r="E23" s="110" t="s">
        <v>5</v>
      </c>
      <c r="F23" s="111" t="s">
        <v>1</v>
      </c>
      <c r="G23" s="3"/>
      <c r="H23" s="113">
        <v>250000</v>
      </c>
      <c r="I23" s="12" t="s">
        <v>52</v>
      </c>
      <c r="J23" s="3"/>
      <c r="K23" s="114"/>
      <c r="L23" s="115"/>
      <c r="M23" s="114"/>
      <c r="N23" s="115">
        <v>1</v>
      </c>
      <c r="O23" s="114"/>
      <c r="P23" s="3"/>
      <c r="Q23" s="8">
        <f t="shared" ref="Q23:Q25" si="12">K23*$H23</f>
        <v>0</v>
      </c>
      <c r="R23" s="8">
        <f t="shared" ref="R23:R25" si="13">L23*$H23</f>
        <v>0</v>
      </c>
      <c r="S23" s="8">
        <f t="shared" ref="S23:S25" si="14">M23*$H23</f>
        <v>0</v>
      </c>
      <c r="T23" s="8">
        <f t="shared" ref="T23:T25" si="15">N23*$H23</f>
        <v>250000</v>
      </c>
      <c r="U23" s="8">
        <f t="shared" ref="U23:U25" si="16">O23*$H23</f>
        <v>0</v>
      </c>
      <c r="Z23"/>
    </row>
    <row r="24" spans="1:27" s="100" customFormat="1" ht="12.75" customHeight="1" x14ac:dyDescent="0.25">
      <c r="A24" s="7"/>
      <c r="C24" s="109" t="s">
        <v>65</v>
      </c>
      <c r="D24" s="110" t="s">
        <v>49</v>
      </c>
      <c r="E24" s="110" t="s">
        <v>5</v>
      </c>
      <c r="F24" s="111" t="s">
        <v>1</v>
      </c>
      <c r="G24" s="3"/>
      <c r="H24" s="113">
        <v>250000</v>
      </c>
      <c r="I24" s="12" t="s">
        <v>52</v>
      </c>
      <c r="J24" s="3"/>
      <c r="K24" s="114"/>
      <c r="L24" s="115"/>
      <c r="M24" s="114"/>
      <c r="N24" s="115">
        <v>1</v>
      </c>
      <c r="O24" s="114"/>
      <c r="P24" s="3"/>
      <c r="Q24" s="8">
        <f t="shared" si="12"/>
        <v>0</v>
      </c>
      <c r="R24" s="8">
        <f t="shared" si="13"/>
        <v>0</v>
      </c>
      <c r="S24" s="8">
        <f t="shared" si="14"/>
        <v>0</v>
      </c>
      <c r="T24" s="8">
        <f t="shared" si="15"/>
        <v>250000</v>
      </c>
      <c r="U24" s="8">
        <f t="shared" si="16"/>
        <v>0</v>
      </c>
      <c r="Z24"/>
    </row>
    <row r="25" spans="1:27" s="100" customFormat="1" ht="12.75" customHeight="1" x14ac:dyDescent="0.25">
      <c r="A25" s="7"/>
      <c r="C25" s="109"/>
      <c r="D25" s="110"/>
      <c r="E25" s="110"/>
      <c r="F25" s="111"/>
      <c r="G25" s="3"/>
      <c r="H25" s="113"/>
      <c r="I25" s="12" t="s">
        <v>52</v>
      </c>
      <c r="J25" s="3"/>
      <c r="K25" s="114"/>
      <c r="L25" s="115"/>
      <c r="M25" s="114"/>
      <c r="N25" s="115"/>
      <c r="O25" s="114"/>
      <c r="P25" s="3"/>
      <c r="Q25" s="8">
        <f t="shared" si="12"/>
        <v>0</v>
      </c>
      <c r="R25" s="8">
        <f t="shared" si="13"/>
        <v>0</v>
      </c>
      <c r="S25" s="8">
        <f t="shared" si="14"/>
        <v>0</v>
      </c>
      <c r="T25" s="8">
        <f t="shared" si="15"/>
        <v>0</v>
      </c>
      <c r="U25" s="8">
        <f t="shared" si="16"/>
        <v>0</v>
      </c>
      <c r="Z25"/>
    </row>
    <row r="26" spans="1:27" ht="12.75" customHeight="1" x14ac:dyDescent="0.25">
      <c r="A26" s="7"/>
      <c r="C26" s="109"/>
      <c r="D26" s="110"/>
      <c r="E26" s="110"/>
      <c r="F26" s="111"/>
      <c r="G26" s="3"/>
      <c r="H26" s="113"/>
      <c r="I26" s="12" t="s">
        <v>52</v>
      </c>
      <c r="J26" s="3"/>
      <c r="K26" s="114"/>
      <c r="L26" s="115"/>
      <c r="M26" s="114"/>
      <c r="N26" s="115"/>
      <c r="O26" s="114"/>
      <c r="P26" s="3"/>
      <c r="Q26" s="8">
        <f t="shared" si="7"/>
        <v>0</v>
      </c>
      <c r="R26" s="8">
        <f t="shared" si="8"/>
        <v>0</v>
      </c>
      <c r="S26" s="8">
        <f t="shared" si="9"/>
        <v>0</v>
      </c>
      <c r="T26" s="8">
        <f t="shared" si="10"/>
        <v>0</v>
      </c>
      <c r="U26" s="8">
        <f t="shared" si="11"/>
        <v>0</v>
      </c>
      <c r="Z26"/>
    </row>
    <row r="27" spans="1:27" ht="12.75" customHeight="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27" ht="12.7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Z28"/>
    </row>
    <row r="29" spans="1:27" ht="12.75" customHeight="1" x14ac:dyDescent="0.2">
      <c r="A29" s="7"/>
      <c r="C29" s="109"/>
      <c r="D29" s="110"/>
      <c r="E29" s="110"/>
      <c r="F29" s="111"/>
      <c r="G29" s="100"/>
      <c r="H29" s="6"/>
      <c r="I29" s="13" t="s">
        <v>42</v>
      </c>
      <c r="J29" s="100"/>
      <c r="K29" s="113"/>
      <c r="L29" s="113"/>
      <c r="M29" s="113"/>
      <c r="N29" s="113"/>
      <c r="O29" s="113"/>
      <c r="Q29" s="8">
        <f t="shared" ref="Q29" si="17">K29</f>
        <v>0</v>
      </c>
      <c r="R29" s="8">
        <f t="shared" ref="R29" si="18">L29</f>
        <v>0</v>
      </c>
      <c r="S29" s="8">
        <f t="shared" ref="S29" si="19">M29</f>
        <v>0</v>
      </c>
      <c r="T29" s="8">
        <f t="shared" ref="T29" si="20">N29</f>
        <v>0</v>
      </c>
      <c r="U29" s="8">
        <f t="shared" ref="U29" si="21">O29</f>
        <v>0</v>
      </c>
    </row>
    <row r="30" spans="1:27" s="100" customFormat="1" ht="12.75" customHeight="1" x14ac:dyDescent="0.2">
      <c r="A30" s="7"/>
      <c r="C30" s="109"/>
      <c r="D30" s="110"/>
      <c r="E30" s="110"/>
      <c r="F30" s="111"/>
      <c r="H30" s="6"/>
      <c r="I30" s="13" t="s">
        <v>42</v>
      </c>
      <c r="K30" s="113"/>
      <c r="L30" s="113"/>
      <c r="M30" s="113"/>
      <c r="N30" s="113"/>
      <c r="O30" s="113"/>
      <c r="Q30" s="8">
        <f t="shared" ref="Q30:Q33" si="22">K30</f>
        <v>0</v>
      </c>
      <c r="R30" s="8">
        <f t="shared" ref="R30:R33" si="23">L30</f>
        <v>0</v>
      </c>
      <c r="S30" s="8">
        <f t="shared" ref="S30:S33" si="24">M30</f>
        <v>0</v>
      </c>
      <c r="T30" s="8">
        <f t="shared" ref="T30:T33" si="25">N30</f>
        <v>0</v>
      </c>
      <c r="U30" s="8">
        <f t="shared" ref="U30:U33" si="26">O30</f>
        <v>0</v>
      </c>
    </row>
    <row r="31" spans="1:27" s="100" customFormat="1" ht="12.75" customHeight="1" x14ac:dyDescent="0.2">
      <c r="A31" s="7"/>
      <c r="C31" s="109"/>
      <c r="D31" s="110"/>
      <c r="E31" s="110"/>
      <c r="F31" s="111"/>
      <c r="H31" s="6"/>
      <c r="I31" s="13" t="s">
        <v>42</v>
      </c>
      <c r="K31" s="113"/>
      <c r="L31" s="113"/>
      <c r="M31" s="113"/>
      <c r="N31" s="113"/>
      <c r="O31" s="113"/>
      <c r="Q31" s="8">
        <f t="shared" si="22"/>
        <v>0</v>
      </c>
      <c r="R31" s="8">
        <f t="shared" si="23"/>
        <v>0</v>
      </c>
      <c r="S31" s="8">
        <f t="shared" si="24"/>
        <v>0</v>
      </c>
      <c r="T31" s="8">
        <f t="shared" si="25"/>
        <v>0</v>
      </c>
      <c r="U31" s="8">
        <f t="shared" si="26"/>
        <v>0</v>
      </c>
    </row>
    <row r="32" spans="1:27" ht="12.75" customHeight="1" x14ac:dyDescent="0.2">
      <c r="A32" s="7"/>
      <c r="C32" s="109"/>
      <c r="D32" s="110"/>
      <c r="E32" s="110"/>
      <c r="F32" s="111"/>
      <c r="G32" s="100"/>
      <c r="H32" s="6"/>
      <c r="I32" s="13" t="s">
        <v>42</v>
      </c>
      <c r="J32" s="100"/>
      <c r="K32" s="113"/>
      <c r="L32" s="113"/>
      <c r="M32" s="113"/>
      <c r="N32" s="113"/>
      <c r="O32" s="113"/>
      <c r="Q32" s="8">
        <f t="shared" si="22"/>
        <v>0</v>
      </c>
      <c r="R32" s="8">
        <f t="shared" si="23"/>
        <v>0</v>
      </c>
      <c r="S32" s="8">
        <f t="shared" si="24"/>
        <v>0</v>
      </c>
      <c r="T32" s="8">
        <f t="shared" si="25"/>
        <v>0</v>
      </c>
      <c r="U32" s="8">
        <f t="shared" si="26"/>
        <v>0</v>
      </c>
    </row>
    <row r="33" spans="1:26" s="100" customFormat="1" ht="12.75" customHeight="1" x14ac:dyDescent="0.2">
      <c r="A33" s="7"/>
      <c r="C33" s="109"/>
      <c r="D33" s="110"/>
      <c r="E33" s="110"/>
      <c r="F33" s="111"/>
      <c r="H33" s="6"/>
      <c r="I33" s="13" t="s">
        <v>42</v>
      </c>
      <c r="K33" s="113"/>
      <c r="L33" s="113"/>
      <c r="M33" s="113"/>
      <c r="N33" s="113"/>
      <c r="O33" s="113"/>
      <c r="Q33" s="8">
        <f t="shared" si="22"/>
        <v>0</v>
      </c>
      <c r="R33" s="8">
        <f t="shared" si="23"/>
        <v>0</v>
      </c>
      <c r="S33" s="8">
        <f t="shared" si="24"/>
        <v>0</v>
      </c>
      <c r="T33" s="8">
        <f t="shared" si="25"/>
        <v>0</v>
      </c>
      <c r="U33" s="8">
        <f t="shared" si="26"/>
        <v>0</v>
      </c>
    </row>
    <row r="34" spans="1:26" s="100" customFormat="1" ht="12.75" customHeight="1" x14ac:dyDescent="0.2">
      <c r="A34" s="7"/>
      <c r="C34" s="109"/>
      <c r="D34" s="110"/>
      <c r="E34" s="110"/>
      <c r="F34" s="111"/>
      <c r="H34" s="6"/>
      <c r="I34" s="13" t="s">
        <v>42</v>
      </c>
      <c r="K34" s="113"/>
      <c r="L34" s="113"/>
      <c r="M34" s="113"/>
      <c r="N34" s="113"/>
      <c r="O34" s="113"/>
      <c r="Q34" s="8">
        <f t="shared" ref="Q34:Q38" si="27">K34</f>
        <v>0</v>
      </c>
      <c r="R34" s="8">
        <f t="shared" ref="R34:R38" si="28">L34</f>
        <v>0</v>
      </c>
      <c r="S34" s="8">
        <f t="shared" ref="S34:S38" si="29">M34</f>
        <v>0</v>
      </c>
      <c r="T34" s="8">
        <f t="shared" ref="T34:T38" si="30">N34</f>
        <v>0</v>
      </c>
      <c r="U34" s="8">
        <f t="shared" ref="U34:U38" si="31">O34</f>
        <v>0</v>
      </c>
    </row>
    <row r="35" spans="1:26" s="100" customFormat="1" ht="12.75" customHeight="1" x14ac:dyDescent="0.2">
      <c r="A35" s="7"/>
      <c r="C35" s="109"/>
      <c r="D35" s="110"/>
      <c r="E35" s="110"/>
      <c r="F35" s="111"/>
      <c r="H35" s="6"/>
      <c r="I35" s="13" t="s">
        <v>42</v>
      </c>
      <c r="K35" s="113"/>
      <c r="L35" s="113"/>
      <c r="M35" s="113"/>
      <c r="N35" s="113"/>
      <c r="O35" s="113"/>
      <c r="Q35" s="8">
        <f t="shared" si="27"/>
        <v>0</v>
      </c>
      <c r="R35" s="8">
        <f t="shared" si="28"/>
        <v>0</v>
      </c>
      <c r="S35" s="8">
        <f t="shared" si="29"/>
        <v>0</v>
      </c>
      <c r="T35" s="8">
        <f t="shared" si="30"/>
        <v>0</v>
      </c>
      <c r="U35" s="8">
        <f t="shared" si="31"/>
        <v>0</v>
      </c>
    </row>
    <row r="36" spans="1:26" s="100" customFormat="1" ht="12.75" customHeight="1" x14ac:dyDescent="0.2">
      <c r="A36" s="7"/>
      <c r="C36" s="109"/>
      <c r="D36" s="110"/>
      <c r="E36" s="110"/>
      <c r="F36" s="111"/>
      <c r="H36" s="6"/>
      <c r="I36" s="13" t="s">
        <v>42</v>
      </c>
      <c r="K36" s="113"/>
      <c r="L36" s="113"/>
      <c r="M36" s="113"/>
      <c r="N36" s="113"/>
      <c r="O36" s="113"/>
      <c r="Q36" s="8">
        <f t="shared" si="27"/>
        <v>0</v>
      </c>
      <c r="R36" s="8">
        <f t="shared" si="28"/>
        <v>0</v>
      </c>
      <c r="S36" s="8">
        <f t="shared" si="29"/>
        <v>0</v>
      </c>
      <c r="T36" s="8">
        <f t="shared" si="30"/>
        <v>0</v>
      </c>
      <c r="U36" s="8">
        <f t="shared" si="31"/>
        <v>0</v>
      </c>
    </row>
    <row r="37" spans="1:26" s="100" customFormat="1" ht="12.75" customHeight="1" x14ac:dyDescent="0.2">
      <c r="A37" s="7"/>
      <c r="C37" s="109"/>
      <c r="D37" s="110"/>
      <c r="E37" s="110"/>
      <c r="F37" s="111"/>
      <c r="H37" s="6"/>
      <c r="I37" s="13" t="s">
        <v>42</v>
      </c>
      <c r="K37" s="113"/>
      <c r="L37" s="113"/>
      <c r="M37" s="113"/>
      <c r="N37" s="113"/>
      <c r="O37" s="113"/>
      <c r="Q37" s="8">
        <f t="shared" si="27"/>
        <v>0</v>
      </c>
      <c r="R37" s="8">
        <f t="shared" si="28"/>
        <v>0</v>
      </c>
      <c r="S37" s="8">
        <f t="shared" si="29"/>
        <v>0</v>
      </c>
      <c r="T37" s="8">
        <f t="shared" si="30"/>
        <v>0</v>
      </c>
      <c r="U37" s="8">
        <f t="shared" si="31"/>
        <v>0</v>
      </c>
    </row>
    <row r="38" spans="1:26" s="100" customFormat="1" ht="12.75" customHeight="1" x14ac:dyDescent="0.2">
      <c r="A38" s="7"/>
      <c r="C38" s="109"/>
      <c r="D38" s="110"/>
      <c r="E38" s="110"/>
      <c r="F38" s="111"/>
      <c r="H38" s="6"/>
      <c r="I38" s="13" t="s">
        <v>42</v>
      </c>
      <c r="K38" s="113"/>
      <c r="L38" s="113"/>
      <c r="M38" s="113"/>
      <c r="N38" s="113"/>
      <c r="O38" s="113"/>
      <c r="Q38" s="8">
        <f t="shared" si="27"/>
        <v>0</v>
      </c>
      <c r="R38" s="8">
        <f t="shared" si="28"/>
        <v>0</v>
      </c>
      <c r="S38" s="8">
        <f t="shared" si="29"/>
        <v>0</v>
      </c>
      <c r="T38" s="8">
        <f t="shared" si="30"/>
        <v>0</v>
      </c>
      <c r="U38" s="8">
        <f t="shared" si="31"/>
        <v>0</v>
      </c>
    </row>
    <row r="39" spans="1:26" ht="12.75" customHeight="1" x14ac:dyDescent="0.2">
      <c r="A39" s="7"/>
      <c r="B39" s="100"/>
      <c r="C39" s="109"/>
      <c r="D39" s="110"/>
      <c r="E39" s="110"/>
      <c r="F39" s="111"/>
      <c r="G39" s="100"/>
      <c r="H39" s="6"/>
      <c r="I39" s="13" t="s">
        <v>42</v>
      </c>
      <c r="J39" s="100"/>
      <c r="K39" s="113"/>
      <c r="L39" s="113"/>
      <c r="M39" s="113"/>
      <c r="N39" s="113"/>
      <c r="O39" s="113"/>
      <c r="P39" s="100"/>
      <c r="Q39" s="8">
        <f t="shared" ref="Q39" si="32">K39</f>
        <v>0</v>
      </c>
      <c r="R39" s="8">
        <f t="shared" ref="R39" si="33">L39</f>
        <v>0</v>
      </c>
      <c r="S39" s="8">
        <f t="shared" ref="S39" si="34">M39</f>
        <v>0</v>
      </c>
      <c r="T39" s="8">
        <f t="shared" ref="T39" si="35">N39</f>
        <v>0</v>
      </c>
      <c r="U39" s="8">
        <f t="shared" ref="U39" si="36">O39</f>
        <v>0</v>
      </c>
    </row>
    <row r="40" spans="1:26" ht="12.75" customHeight="1" x14ac:dyDescent="0.25">
      <c r="G40" s="3"/>
      <c r="J40" s="3"/>
      <c r="P40" s="3"/>
      <c r="Z40"/>
    </row>
    <row r="41" spans="1:26" ht="12.75" customHeight="1" x14ac:dyDescent="0.25">
      <c r="G41" s="3"/>
      <c r="J41" s="3"/>
      <c r="P41" s="3"/>
      <c r="Z41"/>
    </row>
    <row r="42" spans="1:26" ht="12.75" customHeight="1" x14ac:dyDescent="0.25">
      <c r="C42" s="5" t="s">
        <v>13</v>
      </c>
      <c r="D42" s="7"/>
      <c r="G42" s="3"/>
      <c r="J42" s="3"/>
      <c r="P42" s="3"/>
      <c r="Z42"/>
    </row>
    <row r="43" spans="1:26" ht="12.75" customHeight="1" x14ac:dyDescent="0.2">
      <c r="C43" s="28" t="s">
        <v>2</v>
      </c>
      <c r="D43" s="28"/>
      <c r="E43" s="28" t="s">
        <v>5</v>
      </c>
      <c r="F43" s="28"/>
      <c r="G43" s="3"/>
      <c r="H43" s="28"/>
      <c r="I43" s="29"/>
      <c r="J43" s="3"/>
      <c r="K43" s="28"/>
      <c r="L43" s="28"/>
      <c r="M43" s="28"/>
      <c r="N43" s="28"/>
      <c r="O43" s="28"/>
      <c r="P43" s="3"/>
      <c r="Q43" s="30">
        <f t="shared" ref="Q43:U48" si="37">SUMIFS(Q$10:Q$39,$F$10:$F$39,$C43,$E$10:$E$39,$E43)</f>
        <v>3360500</v>
      </c>
      <c r="R43" s="30">
        <f t="shared" si="37"/>
        <v>1099800</v>
      </c>
      <c r="S43" s="30">
        <f t="shared" si="37"/>
        <v>0</v>
      </c>
      <c r="T43" s="30">
        <f t="shared" si="37"/>
        <v>0</v>
      </c>
      <c r="U43" s="30">
        <f t="shared" si="37"/>
        <v>488800</v>
      </c>
    </row>
    <row r="44" spans="1:26" ht="12.75" customHeight="1" x14ac:dyDescent="0.2">
      <c r="C44" s="4" t="s">
        <v>1</v>
      </c>
      <c r="D44" s="4"/>
      <c r="E44" s="4" t="s">
        <v>5</v>
      </c>
      <c r="F44" s="4"/>
      <c r="G44" s="3"/>
      <c r="H44" s="4"/>
      <c r="I44" s="13"/>
      <c r="J44" s="3"/>
      <c r="K44" s="4"/>
      <c r="L44" s="4"/>
      <c r="M44" s="4"/>
      <c r="N44" s="4"/>
      <c r="O44" s="4"/>
      <c r="P44" s="3"/>
      <c r="Q44" s="9">
        <f t="shared" si="37"/>
        <v>0</v>
      </c>
      <c r="R44" s="9">
        <f t="shared" si="37"/>
        <v>0</v>
      </c>
      <c r="S44" s="9">
        <f t="shared" si="37"/>
        <v>0</v>
      </c>
      <c r="T44" s="9">
        <f t="shared" si="37"/>
        <v>1500000</v>
      </c>
      <c r="U44" s="9">
        <f t="shared" si="37"/>
        <v>0</v>
      </c>
    </row>
    <row r="45" spans="1:26" ht="12.75" customHeight="1" x14ac:dyDescent="0.2">
      <c r="C45" s="4" t="s">
        <v>4</v>
      </c>
      <c r="D45" s="4"/>
      <c r="E45" s="4" t="s">
        <v>5</v>
      </c>
      <c r="F45" s="4"/>
      <c r="G45" s="3"/>
      <c r="H45" s="4"/>
      <c r="I45" s="13"/>
      <c r="J45" s="3"/>
      <c r="K45" s="4"/>
      <c r="L45" s="4"/>
      <c r="M45" s="4"/>
      <c r="N45" s="4"/>
      <c r="O45" s="4"/>
      <c r="P45" s="3"/>
      <c r="Q45" s="9">
        <f t="shared" si="37"/>
        <v>0</v>
      </c>
      <c r="R45" s="9">
        <f t="shared" si="37"/>
        <v>0</v>
      </c>
      <c r="S45" s="9">
        <f t="shared" si="37"/>
        <v>0</v>
      </c>
      <c r="T45" s="9">
        <f t="shared" si="37"/>
        <v>0</v>
      </c>
      <c r="U45" s="9">
        <f t="shared" si="37"/>
        <v>0</v>
      </c>
    </row>
    <row r="46" spans="1:26" ht="12.75" customHeight="1" x14ac:dyDescent="0.2">
      <c r="C46" s="4" t="s">
        <v>2</v>
      </c>
      <c r="D46" s="4"/>
      <c r="E46" s="4" t="s">
        <v>41</v>
      </c>
      <c r="F46" s="4"/>
      <c r="G46" s="3"/>
      <c r="H46" s="4"/>
      <c r="I46" s="13"/>
      <c r="J46" s="3"/>
      <c r="K46" s="4"/>
      <c r="L46" s="4"/>
      <c r="M46" s="4"/>
      <c r="N46" s="4"/>
      <c r="O46" s="4"/>
      <c r="P46" s="3"/>
      <c r="Q46" s="9">
        <f t="shared" si="37"/>
        <v>0</v>
      </c>
      <c r="R46" s="9">
        <f t="shared" si="37"/>
        <v>0</v>
      </c>
      <c r="S46" s="9">
        <f t="shared" si="37"/>
        <v>0</v>
      </c>
      <c r="T46" s="9">
        <f t="shared" si="37"/>
        <v>0</v>
      </c>
      <c r="U46" s="9">
        <f t="shared" si="37"/>
        <v>0</v>
      </c>
    </row>
    <row r="47" spans="1:26" ht="12.75" customHeight="1" x14ac:dyDescent="0.2">
      <c r="C47" s="4" t="s">
        <v>1</v>
      </c>
      <c r="D47" s="4"/>
      <c r="E47" s="4" t="s">
        <v>41</v>
      </c>
      <c r="F47" s="4"/>
      <c r="G47" s="3"/>
      <c r="H47" s="4"/>
      <c r="I47" s="13"/>
      <c r="J47" s="3"/>
      <c r="K47" s="4"/>
      <c r="L47" s="4"/>
      <c r="M47" s="4"/>
      <c r="N47" s="4"/>
      <c r="O47" s="4"/>
      <c r="P47" s="3"/>
      <c r="Q47" s="9">
        <f t="shared" si="37"/>
        <v>0</v>
      </c>
      <c r="R47" s="9">
        <f t="shared" si="37"/>
        <v>0</v>
      </c>
      <c r="S47" s="9">
        <f t="shared" si="37"/>
        <v>0</v>
      </c>
      <c r="T47" s="9">
        <f t="shared" si="37"/>
        <v>0</v>
      </c>
      <c r="U47" s="9">
        <f t="shared" si="37"/>
        <v>0</v>
      </c>
    </row>
    <row r="48" spans="1:26" ht="12.75" customHeight="1" x14ac:dyDescent="0.2">
      <c r="C48" s="4" t="s">
        <v>4</v>
      </c>
      <c r="D48" s="4"/>
      <c r="E48" s="4" t="s">
        <v>41</v>
      </c>
      <c r="F48" s="7"/>
      <c r="G48" s="3"/>
      <c r="H48" s="7"/>
      <c r="I48" s="31"/>
      <c r="J48" s="3"/>
      <c r="K48" s="7"/>
      <c r="L48" s="7"/>
      <c r="M48" s="7"/>
      <c r="N48" s="7"/>
      <c r="O48" s="7"/>
      <c r="P48" s="3"/>
      <c r="Q48" s="9">
        <f t="shared" si="37"/>
        <v>0</v>
      </c>
      <c r="R48" s="9">
        <f t="shared" si="37"/>
        <v>0</v>
      </c>
      <c r="S48" s="9">
        <f t="shared" si="37"/>
        <v>0</v>
      </c>
      <c r="T48" s="9">
        <f t="shared" si="37"/>
        <v>0</v>
      </c>
      <c r="U48" s="9">
        <f t="shared" si="37"/>
        <v>0</v>
      </c>
    </row>
    <row r="49" spans="3:26" ht="12.75" customHeight="1" x14ac:dyDescent="0.2">
      <c r="C49" s="10" t="str">
        <f>"Total Expenditure ($ "&amp;Assumptions!$B$8&amp;")"</f>
        <v>Total Expenditure ($ 2018)</v>
      </c>
      <c r="D49" s="10"/>
      <c r="E49" s="10"/>
      <c r="F49" s="10"/>
      <c r="G49" s="3"/>
      <c r="H49" s="10"/>
      <c r="I49" s="14"/>
      <c r="J49" s="3"/>
      <c r="K49" s="10"/>
      <c r="L49" s="10"/>
      <c r="M49" s="10"/>
      <c r="N49" s="10"/>
      <c r="O49" s="10"/>
      <c r="P49" s="3"/>
      <c r="Q49" s="11">
        <f>SUM(Q43:Q48)</f>
        <v>3360500</v>
      </c>
      <c r="R49" s="11">
        <f t="shared" ref="R49:U49" si="38">SUM(R43:R48)</f>
        <v>1099800</v>
      </c>
      <c r="S49" s="11">
        <f t="shared" si="38"/>
        <v>0</v>
      </c>
      <c r="T49" s="11">
        <f t="shared" si="38"/>
        <v>1500000</v>
      </c>
      <c r="U49" s="11">
        <f t="shared" si="38"/>
        <v>488800</v>
      </c>
      <c r="V49" s="44"/>
    </row>
    <row r="50" spans="3:26" ht="12.75" customHeight="1" x14ac:dyDescent="0.2">
      <c r="C50" s="28" t="str">
        <f>"Total Expenditure ($ "&amp;Assumptions!B17&amp;")"</f>
        <v>Total Expenditure ($ 2020/21)</v>
      </c>
      <c r="D50" s="28"/>
      <c r="E50" s="28"/>
      <c r="F50" s="28"/>
      <c r="G50" s="3"/>
      <c r="H50" s="28"/>
      <c r="I50" s="29"/>
      <c r="J50" s="3"/>
      <c r="K50" s="28"/>
      <c r="L50" s="28"/>
      <c r="M50" s="28"/>
      <c r="N50" s="28"/>
      <c r="O50" s="28"/>
      <c r="P50" s="3"/>
      <c r="Q50" s="45">
        <f>Q49*Assumptions!$B$18</f>
        <v>3558914.7107467796</v>
      </c>
      <c r="R50" s="45">
        <f>R49*Assumptions!$B$18</f>
        <v>1164735.7235171278</v>
      </c>
      <c r="S50" s="45">
        <f>S49*Assumptions!$B$18</f>
        <v>0</v>
      </c>
      <c r="T50" s="45">
        <f>T49*Assumptions!$B$18</f>
        <v>1588564.8165809165</v>
      </c>
      <c r="U50" s="45">
        <f>U49*Assumptions!$B$18</f>
        <v>517660.32156316796</v>
      </c>
      <c r="V50" s="44"/>
    </row>
    <row r="51" spans="3:26" ht="12.75" customHeight="1" x14ac:dyDescent="0.2">
      <c r="C51" s="101" t="s">
        <v>12</v>
      </c>
      <c r="D51" s="101"/>
      <c r="E51" s="101"/>
      <c r="F51" s="101"/>
      <c r="G51" s="3"/>
      <c r="H51" s="101"/>
      <c r="I51" s="101"/>
      <c r="J51" s="3"/>
      <c r="K51" s="101"/>
      <c r="L51" s="101"/>
      <c r="M51" s="101"/>
      <c r="N51" s="101"/>
      <c r="O51" s="101"/>
      <c r="P51" s="3"/>
      <c r="Q51" s="102">
        <f>Q49-SUM(Q10:Q39)</f>
        <v>0</v>
      </c>
      <c r="R51" s="102">
        <f t="shared" ref="R51:U51" si="39">R49-SUM(R10:R39)</f>
        <v>0</v>
      </c>
      <c r="S51" s="102">
        <f t="shared" si="39"/>
        <v>0</v>
      </c>
      <c r="T51" s="102">
        <f t="shared" si="39"/>
        <v>0</v>
      </c>
      <c r="U51" s="102">
        <f t="shared" si="39"/>
        <v>0</v>
      </c>
      <c r="W51" s="102">
        <f>SUM(Q51:U51)</f>
        <v>0</v>
      </c>
    </row>
    <row r="52" spans="3:26" ht="12.75" customHeight="1" x14ac:dyDescent="0.2">
      <c r="G52" s="3"/>
      <c r="J52" s="3"/>
      <c r="P52" s="3"/>
    </row>
    <row r="53" spans="3:26" ht="12.75" customHeight="1" x14ac:dyDescent="0.2">
      <c r="G53" s="3"/>
      <c r="J53" s="3"/>
      <c r="P53" s="3"/>
    </row>
    <row r="54" spans="3:26" ht="12.75" customHeight="1" x14ac:dyDescent="0.2">
      <c r="P54" s="3"/>
    </row>
    <row r="55" spans="3:26" s="100" customFormat="1" ht="12.75" customHeight="1" x14ac:dyDescent="0.25">
      <c r="C55" s="5" t="s">
        <v>100</v>
      </c>
      <c r="D55" s="7"/>
      <c r="G55" s="3"/>
      <c r="I55" s="12"/>
      <c r="J55" s="3"/>
      <c r="P55" s="3"/>
      <c r="Z55"/>
    </row>
    <row r="56" spans="3:26" s="100" customFormat="1" ht="12.75" customHeight="1" x14ac:dyDescent="0.2">
      <c r="C56" s="28" t="s">
        <v>2</v>
      </c>
      <c r="D56" s="28" t="s">
        <v>0</v>
      </c>
      <c r="E56" s="28" t="s">
        <v>5</v>
      </c>
      <c r="F56" s="139" t="str">
        <f>C56&amp;D56</f>
        <v>LabourVPN</v>
      </c>
      <c r="G56" s="3"/>
      <c r="H56" s="28"/>
      <c r="I56" s="29"/>
      <c r="J56" s="3"/>
      <c r="K56" s="28"/>
      <c r="L56" s="28"/>
      <c r="M56" s="28"/>
      <c r="N56" s="28"/>
      <c r="O56" s="28"/>
      <c r="P56" s="3"/>
      <c r="Q56" s="45">
        <f t="shared" ref="Q56:U61" si="40">SUMIFS(Q$10:Q$39,$F$10:$F$39,$C56,$E$10:$E$39,$E56,$D$10:$D$39,$D56)*Conv_2021</f>
        <v>2264763.9068388599</v>
      </c>
      <c r="R56" s="45">
        <f t="shared" si="40"/>
        <v>647075.40195395995</v>
      </c>
      <c r="S56" s="45">
        <f t="shared" si="40"/>
        <v>0</v>
      </c>
      <c r="T56" s="45">
        <f t="shared" si="40"/>
        <v>0</v>
      </c>
      <c r="U56" s="45">
        <f t="shared" si="40"/>
        <v>0</v>
      </c>
    </row>
    <row r="57" spans="3:26" s="100" customFormat="1" ht="12.75" customHeight="1" x14ac:dyDescent="0.2">
      <c r="C57" s="4" t="s">
        <v>1</v>
      </c>
      <c r="D57" s="4" t="s">
        <v>0</v>
      </c>
      <c r="E57" s="4" t="s">
        <v>5</v>
      </c>
      <c r="F57" s="140" t="str">
        <f t="shared" ref="F57:F61" si="41">C57&amp;D57</f>
        <v>MaterialsVPN</v>
      </c>
      <c r="G57" s="3"/>
      <c r="H57" s="4"/>
      <c r="I57" s="13"/>
      <c r="J57" s="3"/>
      <c r="K57" s="4"/>
      <c r="L57" s="4"/>
      <c r="M57" s="4"/>
      <c r="N57" s="4"/>
      <c r="O57" s="4"/>
      <c r="P57" s="3"/>
      <c r="Q57" s="9">
        <f t="shared" si="40"/>
        <v>0</v>
      </c>
      <c r="R57" s="9">
        <f t="shared" si="40"/>
        <v>0</v>
      </c>
      <c r="S57" s="9">
        <f t="shared" si="40"/>
        <v>0</v>
      </c>
      <c r="T57" s="9">
        <f t="shared" si="40"/>
        <v>1059043.2110539442</v>
      </c>
      <c r="U57" s="9">
        <f t="shared" si="40"/>
        <v>0</v>
      </c>
    </row>
    <row r="58" spans="3:26" s="100" customFormat="1" ht="12.75" customHeight="1" x14ac:dyDescent="0.2">
      <c r="C58" s="4" t="s">
        <v>4</v>
      </c>
      <c r="D58" s="4" t="s">
        <v>0</v>
      </c>
      <c r="E58" s="4" t="s">
        <v>5</v>
      </c>
      <c r="F58" s="140" t="str">
        <f t="shared" si="41"/>
        <v>ContractsVPN</v>
      </c>
      <c r="G58" s="3"/>
      <c r="H58" s="4"/>
      <c r="I58" s="13"/>
      <c r="J58" s="3"/>
      <c r="K58" s="4"/>
      <c r="L58" s="4"/>
      <c r="M58" s="4"/>
      <c r="N58" s="4"/>
      <c r="O58" s="4"/>
      <c r="P58" s="3"/>
      <c r="Q58" s="9">
        <f t="shared" si="40"/>
        <v>0</v>
      </c>
      <c r="R58" s="9">
        <f t="shared" si="40"/>
        <v>0</v>
      </c>
      <c r="S58" s="9">
        <f t="shared" si="40"/>
        <v>0</v>
      </c>
      <c r="T58" s="9">
        <f t="shared" si="40"/>
        <v>0</v>
      </c>
      <c r="U58" s="9">
        <f t="shared" si="40"/>
        <v>0</v>
      </c>
    </row>
    <row r="59" spans="3:26" s="100" customFormat="1" ht="12.75" customHeight="1" x14ac:dyDescent="0.2">
      <c r="C59" s="4" t="s">
        <v>2</v>
      </c>
      <c r="D59" s="4" t="s">
        <v>49</v>
      </c>
      <c r="E59" s="4" t="s">
        <v>5</v>
      </c>
      <c r="F59" s="140" t="str">
        <f t="shared" si="41"/>
        <v>LabourUE</v>
      </c>
      <c r="G59" s="3"/>
      <c r="H59" s="4"/>
      <c r="I59" s="13"/>
      <c r="J59" s="3"/>
      <c r="K59" s="4"/>
      <c r="L59" s="4"/>
      <c r="M59" s="4"/>
      <c r="N59" s="4"/>
      <c r="O59" s="4"/>
      <c r="P59" s="3"/>
      <c r="Q59" s="9">
        <f t="shared" si="40"/>
        <v>1294150.8039079199</v>
      </c>
      <c r="R59" s="9">
        <f t="shared" si="40"/>
        <v>517660.32156316796</v>
      </c>
      <c r="S59" s="9">
        <f t="shared" si="40"/>
        <v>0</v>
      </c>
      <c r="T59" s="9">
        <f t="shared" si="40"/>
        <v>0</v>
      </c>
      <c r="U59" s="9">
        <f t="shared" si="40"/>
        <v>517660.32156316796</v>
      </c>
    </row>
    <row r="60" spans="3:26" s="100" customFormat="1" ht="12.75" customHeight="1" x14ac:dyDescent="0.2">
      <c r="C60" s="4" t="s">
        <v>1</v>
      </c>
      <c r="D60" s="4" t="s">
        <v>49</v>
      </c>
      <c r="E60" s="4" t="s">
        <v>5</v>
      </c>
      <c r="F60" s="140" t="str">
        <f t="shared" si="41"/>
        <v>MaterialsUE</v>
      </c>
      <c r="G60" s="3"/>
      <c r="H60" s="4"/>
      <c r="I60" s="13"/>
      <c r="J60" s="3"/>
      <c r="K60" s="4"/>
      <c r="L60" s="4"/>
      <c r="M60" s="4"/>
      <c r="N60" s="4"/>
      <c r="O60" s="4"/>
      <c r="P60" s="3"/>
      <c r="Q60" s="9">
        <f t="shared" si="40"/>
        <v>0</v>
      </c>
      <c r="R60" s="9">
        <f t="shared" si="40"/>
        <v>0</v>
      </c>
      <c r="S60" s="9">
        <f t="shared" si="40"/>
        <v>0</v>
      </c>
      <c r="T60" s="9">
        <f t="shared" si="40"/>
        <v>529521.6055269721</v>
      </c>
      <c r="U60" s="9">
        <f t="shared" si="40"/>
        <v>0</v>
      </c>
    </row>
    <row r="61" spans="3:26" s="100" customFormat="1" ht="12.75" customHeight="1" x14ac:dyDescent="0.2">
      <c r="C61" s="4" t="s">
        <v>4</v>
      </c>
      <c r="D61" s="4" t="s">
        <v>49</v>
      </c>
      <c r="E61" s="4" t="s">
        <v>5</v>
      </c>
      <c r="F61" s="140" t="str">
        <f t="shared" si="41"/>
        <v>ContractsUE</v>
      </c>
      <c r="G61" s="3"/>
      <c r="H61" s="7"/>
      <c r="I61" s="31"/>
      <c r="J61" s="3"/>
      <c r="K61" s="7"/>
      <c r="L61" s="7"/>
      <c r="M61" s="7"/>
      <c r="N61" s="7"/>
      <c r="O61" s="7"/>
      <c r="P61" s="3"/>
      <c r="Q61" s="9">
        <f t="shared" si="40"/>
        <v>0</v>
      </c>
      <c r="R61" s="9">
        <f t="shared" si="40"/>
        <v>0</v>
      </c>
      <c r="S61" s="9">
        <f t="shared" si="40"/>
        <v>0</v>
      </c>
      <c r="T61" s="9">
        <f t="shared" si="40"/>
        <v>0</v>
      </c>
      <c r="U61" s="9">
        <f t="shared" si="40"/>
        <v>0</v>
      </c>
    </row>
    <row r="62" spans="3:26" s="100" customFormat="1" ht="12.75" customHeight="1" x14ac:dyDescent="0.2">
      <c r="C62" s="10" t="s">
        <v>101</v>
      </c>
      <c r="D62" s="10"/>
      <c r="E62" s="10"/>
      <c r="F62" s="10"/>
      <c r="G62" s="3"/>
      <c r="H62" s="10"/>
      <c r="I62" s="14"/>
      <c r="J62" s="3"/>
      <c r="K62" s="10"/>
      <c r="L62" s="10"/>
      <c r="M62" s="10"/>
      <c r="N62" s="10"/>
      <c r="O62" s="10"/>
      <c r="P62" s="3"/>
      <c r="Q62" s="11">
        <f>SUM(Q56:Q61)</f>
        <v>3558914.71074678</v>
      </c>
      <c r="R62" s="11">
        <f t="shared" ref="R62:U62" si="42">SUM(R56:R61)</f>
        <v>1164735.7235171278</v>
      </c>
      <c r="S62" s="11">
        <f t="shared" si="42"/>
        <v>0</v>
      </c>
      <c r="T62" s="11">
        <f t="shared" si="42"/>
        <v>1588564.8165809163</v>
      </c>
      <c r="U62" s="11">
        <f t="shared" si="42"/>
        <v>517660.32156316796</v>
      </c>
      <c r="V62" s="44"/>
    </row>
    <row r="63" spans="3:26" s="100" customFormat="1" ht="12.75" customHeight="1" x14ac:dyDescent="0.2">
      <c r="C63" s="28"/>
      <c r="D63" s="28"/>
      <c r="E63" s="28"/>
      <c r="F63" s="28"/>
      <c r="G63" s="3"/>
      <c r="H63" s="28"/>
      <c r="I63" s="29"/>
      <c r="J63" s="3"/>
      <c r="K63" s="28"/>
      <c r="L63" s="28"/>
      <c r="M63" s="28"/>
      <c r="N63" s="28"/>
      <c r="O63" s="28"/>
      <c r="P63" s="3"/>
      <c r="Q63" s="45"/>
      <c r="R63" s="45"/>
      <c r="S63" s="45"/>
      <c r="T63" s="45"/>
      <c r="U63" s="45"/>
      <c r="V63" s="44"/>
    </row>
    <row r="64" spans="3:26" s="100" customFormat="1" ht="12.75" customHeight="1" x14ac:dyDescent="0.2">
      <c r="C64" s="101" t="s">
        <v>12</v>
      </c>
      <c r="D64" s="101"/>
      <c r="E64" s="101"/>
      <c r="F64" s="101"/>
      <c r="G64" s="3"/>
      <c r="H64" s="101"/>
      <c r="I64" s="101"/>
      <c r="J64" s="3"/>
      <c r="K64" s="101"/>
      <c r="L64" s="101"/>
      <c r="M64" s="101"/>
      <c r="N64" s="101"/>
      <c r="O64" s="101"/>
      <c r="P64" s="3"/>
      <c r="Q64" s="102">
        <f>Q50-Q62</f>
        <v>0</v>
      </c>
      <c r="R64" s="102">
        <f t="shared" ref="R64:U64" si="43">R50-R62</f>
        <v>0</v>
      </c>
      <c r="S64" s="102">
        <f t="shared" si="43"/>
        <v>0</v>
      </c>
      <c r="T64" s="102">
        <f t="shared" si="43"/>
        <v>0</v>
      </c>
      <c r="U64" s="102">
        <f t="shared" si="43"/>
        <v>0</v>
      </c>
      <c r="W64" s="102">
        <f>SUM(Q64:U64)</f>
        <v>0</v>
      </c>
    </row>
    <row r="66" spans="3:5" x14ac:dyDescent="0.2">
      <c r="C66" s="10" t="str">
        <f>"NPV ($ "&amp;Assumptions!$B$17&amp;")"</f>
        <v>NPV ($ 2020/21)</v>
      </c>
      <c r="D66" s="147">
        <f>NPV(Assumptions!$B$6,$Q$62:$U$62)</f>
        <v>6444091.1366170319</v>
      </c>
      <c r="E66" s="103"/>
    </row>
  </sheetData>
  <sortState ref="B53:B55">
    <sortCondition ref="B53:B55"/>
  </sortState>
  <conditionalFormatting sqref="W51">
    <cfRule type="expression" dxfId="13" priority="4">
      <formula>ABS(W51)&gt;0.001</formula>
    </cfRule>
  </conditionalFormatting>
  <conditionalFormatting sqref="Q51:U51">
    <cfRule type="expression" dxfId="12" priority="3">
      <formula>ABS(Q51)&gt;0.001</formula>
    </cfRule>
  </conditionalFormatting>
  <conditionalFormatting sqref="W64">
    <cfRule type="expression" dxfId="11" priority="2">
      <formula>ABS(W64)&gt;0.001</formula>
    </cfRule>
  </conditionalFormatting>
  <conditionalFormatting sqref="Q64:U64">
    <cfRule type="expression" dxfId="10" priority="1">
      <formula>ABS(Q64)&gt;0.001</formula>
    </cfRule>
  </conditionalFormatting>
  <dataValidations count="3">
    <dataValidation type="list" allowBlank="1" showInputMessage="1" showErrorMessage="1" sqref="E21:E26 E29:E39 E10:E18">
      <formula1>"CapEx, OpEx"</formula1>
    </dataValidation>
    <dataValidation type="list" allowBlank="1" showInputMessage="1" showErrorMessage="1" sqref="F21:F26 F29:F39 F10:F18">
      <formula1>"Labour, Materials, Contracts"</formula1>
    </dataValidation>
    <dataValidation type="list" allowBlank="1" showInputMessage="1" showErrorMessage="1" sqref="D21:D26 D29:D39 D10:D18">
      <formula1>"VPN, UE, Combined"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A97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58.5703125" style="1" bestFit="1" customWidth="1"/>
    <col min="4" max="4" width="11.5703125" style="100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7" ht="21" x14ac:dyDescent="0.35">
      <c r="A1" s="18" t="str">
        <f>Assumptions!A1</f>
        <v>BIBW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7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7" s="39" customFormat="1" ht="15" x14ac:dyDescent="0.25">
      <c r="A3" s="37" t="s">
        <v>21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20" t="b">
        <f>SUM(W7:W67)=0</f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7" ht="12.75" customHeight="1" x14ac:dyDescent="0.2">
      <c r="A6" s="7"/>
      <c r="G6" s="20"/>
    </row>
    <row r="7" spans="1:27" ht="12.75" customHeight="1" x14ac:dyDescent="0.2">
      <c r="A7" s="7"/>
      <c r="B7" s="100"/>
      <c r="C7" s="122" t="s">
        <v>44</v>
      </c>
      <c r="D7" s="122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100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7" s="100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23" t="s">
        <v>16</v>
      </c>
      <c r="L8" s="123" t="s">
        <v>17</v>
      </c>
      <c r="M8" s="123" t="s">
        <v>18</v>
      </c>
      <c r="N8" s="123" t="s">
        <v>19</v>
      </c>
      <c r="O8" s="123" t="s">
        <v>20</v>
      </c>
      <c r="P8" s="4"/>
      <c r="Q8" s="123" t="s">
        <v>16</v>
      </c>
      <c r="R8" s="123" t="s">
        <v>17</v>
      </c>
      <c r="S8" s="123" t="s">
        <v>18</v>
      </c>
      <c r="T8" s="123" t="s">
        <v>19</v>
      </c>
      <c r="U8" s="123" t="s">
        <v>20</v>
      </c>
    </row>
    <row r="9" spans="1:27" ht="12.75" customHeight="1" x14ac:dyDescent="0.2">
      <c r="A9" s="100"/>
      <c r="B9" s="100"/>
      <c r="C9" s="100"/>
      <c r="D9" s="4"/>
      <c r="E9" s="100"/>
      <c r="F9" s="100"/>
      <c r="G9" s="20"/>
      <c r="H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</row>
    <row r="10" spans="1:27" ht="12.75" customHeight="1" x14ac:dyDescent="0.2">
      <c r="A10" s="7" t="str">
        <f>IF(ISBLANK(B10),"",1+MAX(A$6:A9))</f>
        <v/>
      </c>
      <c r="C10" s="109" t="s">
        <v>69</v>
      </c>
      <c r="D10" s="110" t="s">
        <v>53</v>
      </c>
      <c r="E10" s="110" t="s">
        <v>5</v>
      </c>
      <c r="F10" s="111" t="s">
        <v>2</v>
      </c>
      <c r="G10" s="3"/>
      <c r="H10" s="112">
        <v>122.2</v>
      </c>
      <c r="I10" s="12" t="s">
        <v>51</v>
      </c>
      <c r="J10" s="3"/>
      <c r="K10" s="113">
        <v>2300</v>
      </c>
      <c r="L10" s="113">
        <v>2300</v>
      </c>
      <c r="M10" s="113">
        <v>2300</v>
      </c>
      <c r="N10" s="113">
        <v>2300</v>
      </c>
      <c r="O10" s="113">
        <v>2300</v>
      </c>
      <c r="P10" s="3"/>
      <c r="Q10" s="8">
        <f t="shared" ref="Q10:U10" si="0">K10*$H10</f>
        <v>281060</v>
      </c>
      <c r="R10" s="8">
        <f t="shared" si="0"/>
        <v>281060</v>
      </c>
      <c r="S10" s="8">
        <f t="shared" si="0"/>
        <v>281060</v>
      </c>
      <c r="T10" s="8">
        <f t="shared" si="0"/>
        <v>281060</v>
      </c>
      <c r="U10" s="8">
        <f t="shared" si="0"/>
        <v>281060</v>
      </c>
      <c r="W10" s="138"/>
      <c r="X10" s="138"/>
      <c r="Y10" s="138"/>
      <c r="Z10" s="138"/>
      <c r="AA10" s="138"/>
    </row>
    <row r="11" spans="1:27" s="100" customFormat="1" ht="12.75" customHeight="1" x14ac:dyDescent="0.2">
      <c r="A11" s="7"/>
      <c r="C11" s="109" t="s">
        <v>70</v>
      </c>
      <c r="D11" s="110" t="s">
        <v>53</v>
      </c>
      <c r="E11" s="110" t="s">
        <v>5</v>
      </c>
      <c r="F11" s="111" t="s">
        <v>2</v>
      </c>
      <c r="G11" s="3"/>
      <c r="H11" s="112">
        <v>122.2</v>
      </c>
      <c r="I11" s="12" t="s">
        <v>51</v>
      </c>
      <c r="J11" s="3"/>
      <c r="K11" s="113"/>
      <c r="L11" s="113">
        <v>800</v>
      </c>
      <c r="M11" s="113"/>
      <c r="N11" s="113"/>
      <c r="O11" s="113"/>
      <c r="P11" s="3"/>
      <c r="Q11" s="8">
        <f t="shared" ref="Q11:Q34" si="1">K11*$H11</f>
        <v>0</v>
      </c>
      <c r="R11" s="8">
        <f t="shared" ref="R11:R34" si="2">L11*$H11</f>
        <v>97760</v>
      </c>
      <c r="S11" s="8">
        <f t="shared" ref="S11:S34" si="3">M11*$H11</f>
        <v>0</v>
      </c>
      <c r="T11" s="8">
        <f t="shared" ref="T11:T34" si="4">N11*$H11</f>
        <v>0</v>
      </c>
      <c r="U11" s="8">
        <f t="shared" ref="U11:U34" si="5">O11*$H11</f>
        <v>0</v>
      </c>
      <c r="W11" s="138"/>
      <c r="X11" s="138"/>
      <c r="Y11" s="138"/>
      <c r="Z11" s="138"/>
      <c r="AA11" s="138"/>
    </row>
    <row r="12" spans="1:27" s="100" customFormat="1" ht="12.75" customHeight="1" x14ac:dyDescent="0.2">
      <c r="A12" s="7"/>
      <c r="C12" s="109" t="s">
        <v>71</v>
      </c>
      <c r="D12" s="110" t="s">
        <v>53</v>
      </c>
      <c r="E12" s="110" t="s">
        <v>5</v>
      </c>
      <c r="F12" s="111" t="s">
        <v>2</v>
      </c>
      <c r="G12" s="3"/>
      <c r="H12" s="112">
        <v>122.2</v>
      </c>
      <c r="I12" s="12" t="s">
        <v>51</v>
      </c>
      <c r="J12" s="3"/>
      <c r="K12" s="113"/>
      <c r="L12" s="113">
        <v>750</v>
      </c>
      <c r="M12" s="113"/>
      <c r="N12" s="113"/>
      <c r="O12" s="113"/>
      <c r="P12" s="3"/>
      <c r="Q12" s="8">
        <f t="shared" si="1"/>
        <v>0</v>
      </c>
      <c r="R12" s="8">
        <f t="shared" si="2"/>
        <v>91650</v>
      </c>
      <c r="S12" s="8">
        <f t="shared" si="3"/>
        <v>0</v>
      </c>
      <c r="T12" s="8">
        <f t="shared" si="4"/>
        <v>0</v>
      </c>
      <c r="U12" s="8">
        <f t="shared" si="5"/>
        <v>0</v>
      </c>
      <c r="W12" s="138"/>
      <c r="X12" s="138"/>
      <c r="Y12" s="138"/>
      <c r="Z12" s="138"/>
      <c r="AA12" s="138"/>
    </row>
    <row r="13" spans="1:27" s="100" customFormat="1" ht="12.75" customHeight="1" x14ac:dyDescent="0.2">
      <c r="A13" s="7"/>
      <c r="C13" s="109" t="s">
        <v>72</v>
      </c>
      <c r="D13" s="110" t="s">
        <v>53</v>
      </c>
      <c r="E13" s="110" t="s">
        <v>5</v>
      </c>
      <c r="F13" s="111" t="s">
        <v>2</v>
      </c>
      <c r="G13" s="3"/>
      <c r="H13" s="112">
        <v>122.2</v>
      </c>
      <c r="I13" s="12" t="s">
        <v>51</v>
      </c>
      <c r="J13" s="3"/>
      <c r="K13" s="113"/>
      <c r="L13" s="113">
        <v>2200</v>
      </c>
      <c r="M13" s="113"/>
      <c r="N13" s="113"/>
      <c r="O13" s="113"/>
      <c r="P13" s="3"/>
      <c r="Q13" s="8">
        <f t="shared" si="1"/>
        <v>0</v>
      </c>
      <c r="R13" s="8">
        <f t="shared" si="2"/>
        <v>268840</v>
      </c>
      <c r="S13" s="8">
        <f t="shared" si="3"/>
        <v>0</v>
      </c>
      <c r="T13" s="8">
        <f t="shared" si="4"/>
        <v>0</v>
      </c>
      <c r="U13" s="8">
        <f t="shared" si="5"/>
        <v>0</v>
      </c>
      <c r="W13" s="138"/>
      <c r="X13" s="138"/>
      <c r="Y13" s="138"/>
      <c r="Z13" s="138"/>
      <c r="AA13" s="138"/>
    </row>
    <row r="14" spans="1:27" s="100" customFormat="1" ht="12.75" customHeight="1" x14ac:dyDescent="0.2">
      <c r="A14" s="7"/>
      <c r="C14" s="109" t="s">
        <v>73</v>
      </c>
      <c r="D14" s="110" t="s">
        <v>53</v>
      </c>
      <c r="E14" s="110" t="s">
        <v>5</v>
      </c>
      <c r="F14" s="111" t="s">
        <v>2</v>
      </c>
      <c r="G14" s="3"/>
      <c r="H14" s="112">
        <v>122.2</v>
      </c>
      <c r="I14" s="12" t="s">
        <v>51</v>
      </c>
      <c r="J14" s="3"/>
      <c r="K14" s="113"/>
      <c r="L14" s="113">
        <v>1350</v>
      </c>
      <c r="M14" s="113"/>
      <c r="N14" s="113"/>
      <c r="O14" s="113"/>
      <c r="P14" s="3"/>
      <c r="Q14" s="8">
        <f t="shared" si="1"/>
        <v>0</v>
      </c>
      <c r="R14" s="8">
        <f t="shared" si="2"/>
        <v>164970</v>
      </c>
      <c r="S14" s="8">
        <f t="shared" si="3"/>
        <v>0</v>
      </c>
      <c r="T14" s="8">
        <f t="shared" si="4"/>
        <v>0</v>
      </c>
      <c r="U14" s="8">
        <f t="shared" si="5"/>
        <v>0</v>
      </c>
      <c r="W14" s="138"/>
      <c r="X14" s="138"/>
      <c r="Y14" s="138"/>
      <c r="Z14" s="138"/>
      <c r="AA14" s="138"/>
    </row>
    <row r="15" spans="1:27" s="100" customFormat="1" ht="12.75" customHeight="1" x14ac:dyDescent="0.2">
      <c r="A15" s="7"/>
      <c r="C15" s="109" t="s">
        <v>74</v>
      </c>
      <c r="D15" s="110" t="s">
        <v>53</v>
      </c>
      <c r="E15" s="110" t="s">
        <v>5</v>
      </c>
      <c r="F15" s="111" t="s">
        <v>2</v>
      </c>
      <c r="G15" s="3"/>
      <c r="H15" s="112">
        <v>122.2</v>
      </c>
      <c r="I15" s="12" t="s">
        <v>51</v>
      </c>
      <c r="J15" s="3"/>
      <c r="K15" s="113"/>
      <c r="L15" s="113">
        <v>3550</v>
      </c>
      <c r="M15" s="113"/>
      <c r="N15" s="113"/>
      <c r="O15" s="113"/>
      <c r="P15" s="3"/>
      <c r="Q15" s="8">
        <f t="shared" si="1"/>
        <v>0</v>
      </c>
      <c r="R15" s="8">
        <f t="shared" si="2"/>
        <v>433810</v>
      </c>
      <c r="S15" s="8">
        <f t="shared" si="3"/>
        <v>0</v>
      </c>
      <c r="T15" s="8">
        <f t="shared" si="4"/>
        <v>0</v>
      </c>
      <c r="U15" s="8">
        <f t="shared" si="5"/>
        <v>0</v>
      </c>
      <c r="W15" s="138"/>
      <c r="X15" s="138"/>
      <c r="Y15" s="138"/>
      <c r="Z15" s="138"/>
      <c r="AA15" s="138"/>
    </row>
    <row r="16" spans="1:27" s="100" customFormat="1" ht="12.75" customHeight="1" x14ac:dyDescent="0.2">
      <c r="A16" s="7"/>
      <c r="C16" s="109" t="s">
        <v>75</v>
      </c>
      <c r="D16" s="110" t="s">
        <v>53</v>
      </c>
      <c r="E16" s="110" t="s">
        <v>5</v>
      </c>
      <c r="F16" s="111" t="s">
        <v>2</v>
      </c>
      <c r="G16" s="3"/>
      <c r="H16" s="112">
        <v>122.2</v>
      </c>
      <c r="I16" s="12" t="s">
        <v>51</v>
      </c>
      <c r="J16" s="3"/>
      <c r="K16" s="113"/>
      <c r="L16" s="113">
        <v>1050</v>
      </c>
      <c r="M16" s="113"/>
      <c r="N16" s="113"/>
      <c r="O16" s="113"/>
      <c r="P16" s="3"/>
      <c r="Q16" s="8">
        <f t="shared" si="1"/>
        <v>0</v>
      </c>
      <c r="R16" s="8">
        <f t="shared" si="2"/>
        <v>128310</v>
      </c>
      <c r="S16" s="8">
        <f t="shared" si="3"/>
        <v>0</v>
      </c>
      <c r="T16" s="8">
        <f t="shared" si="4"/>
        <v>0</v>
      </c>
      <c r="U16" s="8">
        <f t="shared" si="5"/>
        <v>0</v>
      </c>
      <c r="W16" s="138"/>
      <c r="X16" s="138"/>
      <c r="Y16" s="138"/>
      <c r="Z16" s="138"/>
      <c r="AA16" s="138"/>
    </row>
    <row r="17" spans="1:27" s="100" customFormat="1" ht="12.75" customHeight="1" x14ac:dyDescent="0.2">
      <c r="A17" s="7"/>
      <c r="C17" s="109" t="s">
        <v>76</v>
      </c>
      <c r="D17" s="110" t="s">
        <v>53</v>
      </c>
      <c r="E17" s="110" t="s">
        <v>5</v>
      </c>
      <c r="F17" s="111" t="s">
        <v>2</v>
      </c>
      <c r="G17" s="3"/>
      <c r="H17" s="112">
        <v>122.2</v>
      </c>
      <c r="I17" s="12" t="s">
        <v>51</v>
      </c>
      <c r="J17" s="3"/>
      <c r="K17" s="113"/>
      <c r="L17" s="113">
        <v>525</v>
      </c>
      <c r="M17" s="113"/>
      <c r="N17" s="113"/>
      <c r="O17" s="113"/>
      <c r="P17" s="3"/>
      <c r="Q17" s="8">
        <f t="shared" si="1"/>
        <v>0</v>
      </c>
      <c r="R17" s="8">
        <f t="shared" si="2"/>
        <v>64155</v>
      </c>
      <c r="S17" s="8">
        <f t="shared" si="3"/>
        <v>0</v>
      </c>
      <c r="T17" s="8">
        <f t="shared" si="4"/>
        <v>0</v>
      </c>
      <c r="U17" s="8">
        <f t="shared" si="5"/>
        <v>0</v>
      </c>
      <c r="W17" s="138"/>
      <c r="X17" s="138"/>
      <c r="Y17" s="138"/>
      <c r="Z17" s="138"/>
      <c r="AA17" s="138"/>
    </row>
    <row r="18" spans="1:27" s="100" customFormat="1" ht="12.75" customHeight="1" x14ac:dyDescent="0.2">
      <c r="A18" s="7"/>
      <c r="C18" s="109" t="s">
        <v>97</v>
      </c>
      <c r="D18" s="110" t="s">
        <v>53</v>
      </c>
      <c r="E18" s="110" t="s">
        <v>5</v>
      </c>
      <c r="F18" s="111" t="s">
        <v>2</v>
      </c>
      <c r="G18" s="3"/>
      <c r="H18" s="112">
        <v>122.2</v>
      </c>
      <c r="I18" s="12" t="s">
        <v>51</v>
      </c>
      <c r="J18" s="3"/>
      <c r="K18" s="113"/>
      <c r="L18" s="113">
        <v>2250</v>
      </c>
      <c r="M18" s="113"/>
      <c r="N18" s="113"/>
      <c r="O18" s="113"/>
      <c r="P18" s="3"/>
      <c r="Q18" s="8">
        <f t="shared" si="1"/>
        <v>0</v>
      </c>
      <c r="R18" s="8">
        <f t="shared" si="2"/>
        <v>274950</v>
      </c>
      <c r="S18" s="8">
        <f t="shared" si="3"/>
        <v>0</v>
      </c>
      <c r="T18" s="8">
        <f t="shared" si="4"/>
        <v>0</v>
      </c>
      <c r="U18" s="8">
        <f t="shared" si="5"/>
        <v>0</v>
      </c>
      <c r="W18" s="138"/>
      <c r="X18" s="138"/>
      <c r="Y18" s="138"/>
      <c r="Z18" s="138"/>
      <c r="AA18" s="138"/>
    </row>
    <row r="19" spans="1:27" s="100" customFormat="1" ht="12.75" customHeight="1" x14ac:dyDescent="0.2">
      <c r="A19" s="7"/>
      <c r="C19" s="109" t="s">
        <v>77</v>
      </c>
      <c r="D19" s="110" t="s">
        <v>53</v>
      </c>
      <c r="E19" s="110" t="s">
        <v>5</v>
      </c>
      <c r="F19" s="111" t="s">
        <v>2</v>
      </c>
      <c r="G19" s="3"/>
      <c r="H19" s="112">
        <v>122.2</v>
      </c>
      <c r="I19" s="12" t="s">
        <v>51</v>
      </c>
      <c r="J19" s="3"/>
      <c r="K19" s="113"/>
      <c r="L19" s="113">
        <v>1475</v>
      </c>
      <c r="M19" s="113"/>
      <c r="N19" s="113"/>
      <c r="O19" s="113"/>
      <c r="P19" s="3"/>
      <c r="Q19" s="8">
        <f t="shared" si="1"/>
        <v>0</v>
      </c>
      <c r="R19" s="8">
        <f t="shared" si="2"/>
        <v>180245</v>
      </c>
      <c r="S19" s="8">
        <f t="shared" si="3"/>
        <v>0</v>
      </c>
      <c r="T19" s="8">
        <f t="shared" si="4"/>
        <v>0</v>
      </c>
      <c r="U19" s="8">
        <f t="shared" si="5"/>
        <v>0</v>
      </c>
      <c r="W19" s="138"/>
      <c r="X19" s="138"/>
      <c r="Y19" s="138"/>
      <c r="Z19" s="138"/>
      <c r="AA19" s="138"/>
    </row>
    <row r="20" spans="1:27" s="100" customFormat="1" ht="12.75" customHeight="1" x14ac:dyDescent="0.2">
      <c r="A20" s="7"/>
      <c r="C20" s="109" t="s">
        <v>78</v>
      </c>
      <c r="D20" s="110" t="s">
        <v>53</v>
      </c>
      <c r="E20" s="110" t="s">
        <v>5</v>
      </c>
      <c r="F20" s="111" t="s">
        <v>2</v>
      </c>
      <c r="G20" s="3"/>
      <c r="H20" s="112">
        <v>122.2</v>
      </c>
      <c r="I20" s="12" t="s">
        <v>51</v>
      </c>
      <c r="J20" s="3"/>
      <c r="K20" s="113"/>
      <c r="L20" s="113">
        <v>1800</v>
      </c>
      <c r="M20" s="113"/>
      <c r="N20" s="113"/>
      <c r="O20" s="113"/>
      <c r="P20" s="3"/>
      <c r="Q20" s="8">
        <f t="shared" si="1"/>
        <v>0</v>
      </c>
      <c r="R20" s="8">
        <f t="shared" si="2"/>
        <v>219960</v>
      </c>
      <c r="S20" s="8">
        <f t="shared" si="3"/>
        <v>0</v>
      </c>
      <c r="T20" s="8">
        <f t="shared" si="4"/>
        <v>0</v>
      </c>
      <c r="U20" s="8">
        <f t="shared" si="5"/>
        <v>0</v>
      </c>
      <c r="W20" s="138"/>
      <c r="X20" s="138"/>
      <c r="Y20" s="138"/>
      <c r="Z20" s="138"/>
      <c r="AA20" s="138"/>
    </row>
    <row r="21" spans="1:27" s="100" customFormat="1" ht="12.75" customHeight="1" x14ac:dyDescent="0.2">
      <c r="A21" s="7"/>
      <c r="C21" s="109" t="s">
        <v>79</v>
      </c>
      <c r="D21" s="110" t="s">
        <v>53</v>
      </c>
      <c r="E21" s="110" t="s">
        <v>5</v>
      </c>
      <c r="F21" s="111" t="s">
        <v>2</v>
      </c>
      <c r="G21" s="3"/>
      <c r="H21" s="112">
        <v>122.2</v>
      </c>
      <c r="I21" s="12" t="s">
        <v>51</v>
      </c>
      <c r="J21" s="3"/>
      <c r="K21" s="113"/>
      <c r="L21" s="113">
        <v>1800</v>
      </c>
      <c r="M21" s="113"/>
      <c r="N21" s="113"/>
      <c r="O21" s="113"/>
      <c r="P21" s="3"/>
      <c r="Q21" s="8">
        <f t="shared" si="1"/>
        <v>0</v>
      </c>
      <c r="R21" s="8">
        <f t="shared" si="2"/>
        <v>219960</v>
      </c>
      <c r="S21" s="8">
        <f t="shared" si="3"/>
        <v>0</v>
      </c>
      <c r="T21" s="8">
        <f t="shared" si="4"/>
        <v>0</v>
      </c>
      <c r="U21" s="8">
        <f t="shared" si="5"/>
        <v>0</v>
      </c>
      <c r="W21" s="138"/>
      <c r="X21" s="138"/>
      <c r="Y21" s="138"/>
      <c r="Z21" s="138"/>
      <c r="AA21" s="138"/>
    </row>
    <row r="22" spans="1:27" s="100" customFormat="1" ht="12.75" customHeight="1" x14ac:dyDescent="0.2">
      <c r="A22" s="7"/>
      <c r="C22" s="109" t="s">
        <v>80</v>
      </c>
      <c r="D22" s="110" t="s">
        <v>53</v>
      </c>
      <c r="E22" s="110" t="s">
        <v>5</v>
      </c>
      <c r="F22" s="111" t="s">
        <v>2</v>
      </c>
      <c r="G22" s="3"/>
      <c r="H22" s="112">
        <v>122.2</v>
      </c>
      <c r="I22" s="12" t="s">
        <v>51</v>
      </c>
      <c r="J22" s="3"/>
      <c r="K22" s="113"/>
      <c r="L22" s="113">
        <v>1575</v>
      </c>
      <c r="M22" s="113"/>
      <c r="N22" s="113"/>
      <c r="O22" s="113"/>
      <c r="P22" s="3"/>
      <c r="Q22" s="8">
        <f t="shared" si="1"/>
        <v>0</v>
      </c>
      <c r="R22" s="8">
        <f t="shared" si="2"/>
        <v>192465</v>
      </c>
      <c r="S22" s="8">
        <f t="shared" si="3"/>
        <v>0</v>
      </c>
      <c r="T22" s="8">
        <f t="shared" si="4"/>
        <v>0</v>
      </c>
      <c r="U22" s="8">
        <f t="shared" si="5"/>
        <v>0</v>
      </c>
      <c r="W22" s="138"/>
      <c r="X22" s="138"/>
      <c r="Y22" s="138"/>
      <c r="Z22" s="138"/>
      <c r="AA22" s="138"/>
    </row>
    <row r="23" spans="1:27" s="100" customFormat="1" ht="12.75" customHeight="1" x14ac:dyDescent="0.2">
      <c r="A23" s="7"/>
      <c r="C23" s="109" t="s">
        <v>81</v>
      </c>
      <c r="D23" s="110" t="s">
        <v>53</v>
      </c>
      <c r="E23" s="110" t="s">
        <v>5</v>
      </c>
      <c r="F23" s="111" t="s">
        <v>2</v>
      </c>
      <c r="G23" s="3"/>
      <c r="H23" s="112">
        <v>122.2</v>
      </c>
      <c r="I23" s="12" t="s">
        <v>51</v>
      </c>
      <c r="J23" s="3"/>
      <c r="K23" s="113"/>
      <c r="L23" s="113">
        <v>525</v>
      </c>
      <c r="M23" s="113"/>
      <c r="N23" s="113"/>
      <c r="O23" s="113"/>
      <c r="P23" s="3"/>
      <c r="Q23" s="8">
        <f t="shared" si="1"/>
        <v>0</v>
      </c>
      <c r="R23" s="8">
        <f t="shared" si="2"/>
        <v>64155</v>
      </c>
      <c r="S23" s="8">
        <f t="shared" si="3"/>
        <v>0</v>
      </c>
      <c r="T23" s="8">
        <f t="shared" si="4"/>
        <v>0</v>
      </c>
      <c r="U23" s="8">
        <f t="shared" si="5"/>
        <v>0</v>
      </c>
      <c r="W23" s="138"/>
      <c r="X23" s="138"/>
      <c r="Y23" s="138"/>
      <c r="Z23" s="138"/>
      <c r="AA23" s="138"/>
    </row>
    <row r="24" spans="1:27" s="100" customFormat="1" ht="12.75" customHeight="1" x14ac:dyDescent="0.2">
      <c r="A24" s="7"/>
      <c r="C24" s="109" t="s">
        <v>82</v>
      </c>
      <c r="D24" s="110" t="s">
        <v>53</v>
      </c>
      <c r="E24" s="110" t="s">
        <v>5</v>
      </c>
      <c r="F24" s="111" t="s">
        <v>2</v>
      </c>
      <c r="G24" s="3"/>
      <c r="H24" s="112">
        <v>122.2</v>
      </c>
      <c r="I24" s="12" t="s">
        <v>51</v>
      </c>
      <c r="J24" s="3"/>
      <c r="K24" s="113"/>
      <c r="L24" s="113">
        <v>362.5</v>
      </c>
      <c r="M24" s="113"/>
      <c r="N24" s="113"/>
      <c r="O24" s="113"/>
      <c r="P24" s="3"/>
      <c r="Q24" s="8">
        <f t="shared" si="1"/>
        <v>0</v>
      </c>
      <c r="R24" s="8">
        <f t="shared" si="2"/>
        <v>44297.5</v>
      </c>
      <c r="S24" s="8">
        <f t="shared" si="3"/>
        <v>0</v>
      </c>
      <c r="T24" s="8">
        <f t="shared" si="4"/>
        <v>0</v>
      </c>
      <c r="U24" s="8">
        <f t="shared" si="5"/>
        <v>0</v>
      </c>
      <c r="W24" s="138"/>
      <c r="X24" s="138"/>
      <c r="Y24" s="138"/>
      <c r="Z24" s="138"/>
      <c r="AA24" s="138"/>
    </row>
    <row r="25" spans="1:27" s="100" customFormat="1" ht="12.75" customHeight="1" x14ac:dyDescent="0.2">
      <c r="A25" s="7"/>
      <c r="C25" s="109" t="s">
        <v>98</v>
      </c>
      <c r="D25" s="110" t="s">
        <v>53</v>
      </c>
      <c r="E25" s="110" t="s">
        <v>5</v>
      </c>
      <c r="F25" s="111" t="s">
        <v>2</v>
      </c>
      <c r="G25" s="3"/>
      <c r="H25" s="112">
        <v>122.2</v>
      </c>
      <c r="I25" s="12" t="s">
        <v>51</v>
      </c>
      <c r="J25" s="3"/>
      <c r="K25" s="113"/>
      <c r="L25" s="113">
        <v>1050</v>
      </c>
      <c r="M25" s="113"/>
      <c r="N25" s="113"/>
      <c r="O25" s="113"/>
      <c r="P25" s="3"/>
      <c r="Q25" s="8">
        <f t="shared" si="1"/>
        <v>0</v>
      </c>
      <c r="R25" s="8">
        <f t="shared" si="2"/>
        <v>128310</v>
      </c>
      <c r="S25" s="8">
        <f t="shared" si="3"/>
        <v>0</v>
      </c>
      <c r="T25" s="8">
        <f t="shared" si="4"/>
        <v>0</v>
      </c>
      <c r="U25" s="8">
        <f t="shared" si="5"/>
        <v>0</v>
      </c>
      <c r="W25" s="138"/>
      <c r="X25" s="138"/>
      <c r="Y25" s="138"/>
      <c r="Z25" s="138"/>
      <c r="AA25" s="138"/>
    </row>
    <row r="26" spans="1:27" s="100" customFormat="1" ht="12.75" customHeight="1" x14ac:dyDescent="0.2">
      <c r="A26" s="7"/>
      <c r="C26" s="109" t="s">
        <v>83</v>
      </c>
      <c r="D26" s="110" t="s">
        <v>53</v>
      </c>
      <c r="E26" s="110" t="s">
        <v>5</v>
      </c>
      <c r="F26" s="111" t="s">
        <v>2</v>
      </c>
      <c r="G26" s="3"/>
      <c r="H26" s="112">
        <v>122.2</v>
      </c>
      <c r="I26" s="12" t="s">
        <v>51</v>
      </c>
      <c r="J26" s="3"/>
      <c r="K26" s="113"/>
      <c r="L26" s="113"/>
      <c r="M26" s="113">
        <v>525</v>
      </c>
      <c r="N26" s="113"/>
      <c r="O26" s="113"/>
      <c r="P26" s="3"/>
      <c r="Q26" s="8">
        <f t="shared" si="1"/>
        <v>0</v>
      </c>
      <c r="R26" s="8">
        <f t="shared" si="2"/>
        <v>0</v>
      </c>
      <c r="S26" s="8">
        <f t="shared" si="3"/>
        <v>64155</v>
      </c>
      <c r="T26" s="8">
        <f t="shared" si="4"/>
        <v>0</v>
      </c>
      <c r="U26" s="8">
        <f t="shared" si="5"/>
        <v>0</v>
      </c>
      <c r="W26" s="138"/>
      <c r="X26" s="138"/>
      <c r="Y26" s="138"/>
      <c r="Z26" s="138"/>
      <c r="AA26" s="138"/>
    </row>
    <row r="27" spans="1:27" s="100" customFormat="1" ht="12.75" customHeight="1" x14ac:dyDescent="0.2">
      <c r="A27" s="7"/>
      <c r="C27" s="109" t="s">
        <v>84</v>
      </c>
      <c r="D27" s="110" t="s">
        <v>53</v>
      </c>
      <c r="E27" s="110" t="s">
        <v>5</v>
      </c>
      <c r="F27" s="111" t="s">
        <v>2</v>
      </c>
      <c r="G27" s="3"/>
      <c r="H27" s="112">
        <v>122.2</v>
      </c>
      <c r="I27" s="12" t="s">
        <v>51</v>
      </c>
      <c r="J27" s="3"/>
      <c r="K27" s="113"/>
      <c r="L27" s="113"/>
      <c r="M27" s="113">
        <v>525</v>
      </c>
      <c r="N27" s="113"/>
      <c r="O27" s="113"/>
      <c r="P27" s="3"/>
      <c r="Q27" s="8">
        <f t="shared" si="1"/>
        <v>0</v>
      </c>
      <c r="R27" s="8">
        <f t="shared" si="2"/>
        <v>0</v>
      </c>
      <c r="S27" s="8">
        <f t="shared" si="3"/>
        <v>64155</v>
      </c>
      <c r="T27" s="8">
        <f t="shared" si="4"/>
        <v>0</v>
      </c>
      <c r="U27" s="8">
        <f t="shared" si="5"/>
        <v>0</v>
      </c>
      <c r="W27" s="138"/>
      <c r="X27" s="138"/>
      <c r="Y27" s="138"/>
      <c r="Z27" s="138"/>
      <c r="AA27" s="138"/>
    </row>
    <row r="28" spans="1:27" s="100" customFormat="1" ht="12.75" customHeight="1" x14ac:dyDescent="0.2">
      <c r="A28" s="7"/>
      <c r="C28" s="109" t="s">
        <v>85</v>
      </c>
      <c r="D28" s="110" t="s">
        <v>53</v>
      </c>
      <c r="E28" s="110" t="s">
        <v>5</v>
      </c>
      <c r="F28" s="111" t="s">
        <v>2</v>
      </c>
      <c r="G28" s="3"/>
      <c r="H28" s="112">
        <v>122.2</v>
      </c>
      <c r="I28" s="12" t="s">
        <v>51</v>
      </c>
      <c r="J28" s="3"/>
      <c r="K28" s="113"/>
      <c r="L28" s="113"/>
      <c r="M28" s="113">
        <v>1200</v>
      </c>
      <c r="N28" s="113"/>
      <c r="O28" s="113"/>
      <c r="P28" s="3"/>
      <c r="Q28" s="8">
        <f t="shared" si="1"/>
        <v>0</v>
      </c>
      <c r="R28" s="8">
        <f t="shared" si="2"/>
        <v>0</v>
      </c>
      <c r="S28" s="8">
        <f t="shared" si="3"/>
        <v>146640</v>
      </c>
      <c r="T28" s="8">
        <f t="shared" si="4"/>
        <v>0</v>
      </c>
      <c r="U28" s="8">
        <f t="shared" si="5"/>
        <v>0</v>
      </c>
      <c r="W28" s="138"/>
      <c r="X28" s="138"/>
      <c r="Y28" s="138"/>
      <c r="Z28" s="138"/>
      <c r="AA28" s="138"/>
    </row>
    <row r="29" spans="1:27" s="100" customFormat="1" ht="12.75" customHeight="1" x14ac:dyDescent="0.2">
      <c r="A29" s="7"/>
      <c r="C29" s="109" t="s">
        <v>86</v>
      </c>
      <c r="D29" s="110" t="s">
        <v>53</v>
      </c>
      <c r="E29" s="110" t="s">
        <v>5</v>
      </c>
      <c r="F29" s="111" t="s">
        <v>2</v>
      </c>
      <c r="G29" s="3"/>
      <c r="H29" s="112">
        <v>122.2</v>
      </c>
      <c r="I29" s="12" t="s">
        <v>51</v>
      </c>
      <c r="J29" s="3"/>
      <c r="K29" s="113"/>
      <c r="L29" s="113"/>
      <c r="M29" s="113">
        <v>1975</v>
      </c>
      <c r="N29" s="113"/>
      <c r="O29" s="113"/>
      <c r="P29" s="3"/>
      <c r="Q29" s="8">
        <f t="shared" si="1"/>
        <v>0</v>
      </c>
      <c r="R29" s="8">
        <f t="shared" si="2"/>
        <v>0</v>
      </c>
      <c r="S29" s="8">
        <f t="shared" si="3"/>
        <v>241345</v>
      </c>
      <c r="T29" s="8">
        <f t="shared" si="4"/>
        <v>0</v>
      </c>
      <c r="U29" s="8">
        <f t="shared" si="5"/>
        <v>0</v>
      </c>
      <c r="W29" s="138"/>
      <c r="X29" s="138"/>
      <c r="Y29" s="138"/>
      <c r="Z29" s="138"/>
      <c r="AA29" s="138"/>
    </row>
    <row r="30" spans="1:27" s="100" customFormat="1" ht="12.75" customHeight="1" x14ac:dyDescent="0.2">
      <c r="A30" s="7"/>
      <c r="C30" s="109" t="s">
        <v>87</v>
      </c>
      <c r="D30" s="110" t="s">
        <v>53</v>
      </c>
      <c r="E30" s="110" t="s">
        <v>5</v>
      </c>
      <c r="F30" s="111" t="s">
        <v>2</v>
      </c>
      <c r="G30" s="3"/>
      <c r="H30" s="112">
        <v>122.2</v>
      </c>
      <c r="I30" s="12" t="s">
        <v>51</v>
      </c>
      <c r="J30" s="3"/>
      <c r="K30" s="113"/>
      <c r="L30" s="113"/>
      <c r="M30" s="113">
        <v>525</v>
      </c>
      <c r="N30" s="113"/>
      <c r="O30" s="113"/>
      <c r="P30" s="3"/>
      <c r="Q30" s="8">
        <f t="shared" si="1"/>
        <v>0</v>
      </c>
      <c r="R30" s="8">
        <f t="shared" si="2"/>
        <v>0</v>
      </c>
      <c r="S30" s="8">
        <f t="shared" si="3"/>
        <v>64155</v>
      </c>
      <c r="T30" s="8">
        <f t="shared" si="4"/>
        <v>0</v>
      </c>
      <c r="U30" s="8">
        <f t="shared" si="5"/>
        <v>0</v>
      </c>
      <c r="W30" s="138"/>
      <c r="X30" s="138"/>
      <c r="Y30" s="138"/>
      <c r="Z30" s="138"/>
      <c r="AA30" s="138"/>
    </row>
    <row r="31" spans="1:27" s="100" customFormat="1" ht="12.75" customHeight="1" x14ac:dyDescent="0.2">
      <c r="A31" s="7"/>
      <c r="C31" s="109" t="s">
        <v>88</v>
      </c>
      <c r="D31" s="110" t="s">
        <v>53</v>
      </c>
      <c r="E31" s="110" t="s">
        <v>5</v>
      </c>
      <c r="F31" s="111" t="s">
        <v>2</v>
      </c>
      <c r="G31" s="3"/>
      <c r="H31" s="112">
        <v>122.2</v>
      </c>
      <c r="I31" s="12" t="s">
        <v>51</v>
      </c>
      <c r="J31" s="3"/>
      <c r="K31" s="113"/>
      <c r="L31" s="113"/>
      <c r="M31" s="113">
        <v>1575</v>
      </c>
      <c r="N31" s="113"/>
      <c r="O31" s="113"/>
      <c r="P31" s="3"/>
      <c r="Q31" s="8">
        <f t="shared" si="1"/>
        <v>0</v>
      </c>
      <c r="R31" s="8">
        <f t="shared" si="2"/>
        <v>0</v>
      </c>
      <c r="S31" s="8">
        <f t="shared" si="3"/>
        <v>192465</v>
      </c>
      <c r="T31" s="8">
        <f t="shared" si="4"/>
        <v>0</v>
      </c>
      <c r="U31" s="8">
        <f t="shared" si="5"/>
        <v>0</v>
      </c>
      <c r="W31" s="138"/>
      <c r="X31" s="138"/>
      <c r="Y31" s="138"/>
      <c r="Z31" s="138"/>
      <c r="AA31" s="138"/>
    </row>
    <row r="32" spans="1:27" ht="12.75" customHeight="1" x14ac:dyDescent="0.2">
      <c r="A32" s="7" t="str">
        <f>IF(ISBLANK(B32),"",1+MAX(A$6:A10))</f>
        <v/>
      </c>
      <c r="C32" s="109" t="s">
        <v>89</v>
      </c>
      <c r="D32" s="110" t="s">
        <v>53</v>
      </c>
      <c r="E32" s="110" t="s">
        <v>5</v>
      </c>
      <c r="F32" s="111" t="s">
        <v>2</v>
      </c>
      <c r="G32" s="3"/>
      <c r="H32" s="112">
        <v>122.2</v>
      </c>
      <c r="I32" s="12" t="s">
        <v>51</v>
      </c>
      <c r="J32" s="3"/>
      <c r="K32" s="113"/>
      <c r="L32" s="113"/>
      <c r="M32" s="113">
        <v>362.5</v>
      </c>
      <c r="N32" s="113"/>
      <c r="O32" s="113"/>
      <c r="P32" s="3"/>
      <c r="Q32" s="8">
        <f t="shared" si="1"/>
        <v>0</v>
      </c>
      <c r="R32" s="8">
        <f t="shared" si="2"/>
        <v>0</v>
      </c>
      <c r="S32" s="8">
        <f t="shared" si="3"/>
        <v>44297.5</v>
      </c>
      <c r="T32" s="8">
        <f t="shared" si="4"/>
        <v>0</v>
      </c>
      <c r="U32" s="8">
        <f t="shared" si="5"/>
        <v>0</v>
      </c>
      <c r="W32" s="138"/>
      <c r="X32" s="138"/>
      <c r="Y32" s="138"/>
      <c r="Z32" s="138"/>
      <c r="AA32" s="138"/>
    </row>
    <row r="33" spans="1:27" ht="12.75" customHeight="1" x14ac:dyDescent="0.2">
      <c r="A33" s="7" t="str">
        <f>IF(ISBLANK(B33),"",1+MAX(A$6:A32))</f>
        <v/>
      </c>
      <c r="C33" s="109" t="s">
        <v>99</v>
      </c>
      <c r="D33" s="110" t="s">
        <v>53</v>
      </c>
      <c r="E33" s="110" t="s">
        <v>5</v>
      </c>
      <c r="F33" s="111" t="s">
        <v>2</v>
      </c>
      <c r="G33" s="3"/>
      <c r="H33" s="112">
        <v>122.2</v>
      </c>
      <c r="I33" s="12" t="s">
        <v>51</v>
      </c>
      <c r="J33" s="3"/>
      <c r="K33" s="113"/>
      <c r="L33" s="113"/>
      <c r="M33" s="113">
        <v>525</v>
      </c>
      <c r="N33" s="113"/>
      <c r="O33" s="113"/>
      <c r="P33" s="3"/>
      <c r="Q33" s="8">
        <f t="shared" si="1"/>
        <v>0</v>
      </c>
      <c r="R33" s="8">
        <f t="shared" si="2"/>
        <v>0</v>
      </c>
      <c r="S33" s="8">
        <f t="shared" si="3"/>
        <v>64155</v>
      </c>
      <c r="T33" s="8">
        <f t="shared" si="4"/>
        <v>0</v>
      </c>
      <c r="U33" s="8">
        <f t="shared" si="5"/>
        <v>0</v>
      </c>
      <c r="W33" s="138"/>
      <c r="X33" s="138"/>
      <c r="Y33" s="138"/>
      <c r="Z33" s="138"/>
      <c r="AA33" s="138"/>
    </row>
    <row r="34" spans="1:27" ht="12.75" customHeight="1" x14ac:dyDescent="0.2">
      <c r="A34" s="7" t="str">
        <f>IF(ISBLANK(B34),"",1+MAX(A$6:A33))</f>
        <v/>
      </c>
      <c r="C34" s="116"/>
      <c r="D34" s="110"/>
      <c r="E34" s="110"/>
      <c r="F34" s="111"/>
      <c r="G34" s="3"/>
      <c r="H34" s="112"/>
      <c r="I34" s="12" t="s">
        <v>51</v>
      </c>
      <c r="J34" s="3"/>
      <c r="K34" s="114"/>
      <c r="L34" s="115"/>
      <c r="M34" s="114"/>
      <c r="N34" s="115"/>
      <c r="O34" s="114"/>
      <c r="P34" s="3"/>
      <c r="Q34" s="8">
        <f t="shared" si="1"/>
        <v>0</v>
      </c>
      <c r="R34" s="8">
        <f t="shared" si="2"/>
        <v>0</v>
      </c>
      <c r="S34" s="8">
        <f t="shared" si="3"/>
        <v>0</v>
      </c>
      <c r="T34" s="8">
        <f t="shared" si="4"/>
        <v>0</v>
      </c>
      <c r="U34" s="8">
        <f t="shared" si="5"/>
        <v>0</v>
      </c>
      <c r="W34" s="138"/>
      <c r="X34" s="138"/>
      <c r="Y34" s="138"/>
      <c r="Z34" s="138"/>
      <c r="AA34" s="138"/>
    </row>
    <row r="35" spans="1:27" ht="12.75" customHeight="1" x14ac:dyDescent="0.25">
      <c r="A35" s="7" t="str">
        <f>IF(ISBLANK(B35),"",1+MAX(A$6:A34))</f>
        <v/>
      </c>
      <c r="C35" s="100"/>
      <c r="E35" s="100"/>
      <c r="F35" s="100"/>
      <c r="G35" s="3"/>
      <c r="H35" s="100"/>
      <c r="J35" s="3"/>
      <c r="K35" s="100"/>
      <c r="L35" s="100"/>
      <c r="M35" s="100"/>
      <c r="N35" s="100"/>
      <c r="O35" s="100"/>
      <c r="P35" s="3"/>
      <c r="Q35" s="100"/>
      <c r="R35" s="100"/>
      <c r="S35" s="100"/>
      <c r="T35" s="100"/>
      <c r="U35" s="100"/>
      <c r="Z35"/>
    </row>
    <row r="36" spans="1:27" ht="12.75" customHeight="1" x14ac:dyDescent="0.25">
      <c r="A36" s="7"/>
      <c r="C36" s="100"/>
      <c r="E36" s="100"/>
      <c r="F36" s="100"/>
      <c r="G36" s="3"/>
      <c r="H36" s="100"/>
      <c r="J36" s="3"/>
      <c r="K36" s="100"/>
      <c r="L36" s="100"/>
      <c r="M36" s="100"/>
      <c r="N36" s="100"/>
      <c r="O36" s="100"/>
      <c r="P36" s="3"/>
      <c r="Q36" s="100"/>
      <c r="R36" s="100"/>
      <c r="S36" s="100"/>
      <c r="T36" s="100"/>
      <c r="U36" s="100"/>
      <c r="Z36"/>
    </row>
    <row r="37" spans="1:27" ht="12.75" customHeight="1" x14ac:dyDescent="0.25">
      <c r="A37" s="7" t="str">
        <f>IF(ISBLANK(B37),"",1+MAX(A$6:A36))</f>
        <v/>
      </c>
      <c r="C37" s="109" t="s">
        <v>93</v>
      </c>
      <c r="D37" s="110" t="s">
        <v>49</v>
      </c>
      <c r="E37" s="110" t="s">
        <v>5</v>
      </c>
      <c r="F37" s="111" t="s">
        <v>1</v>
      </c>
      <c r="G37" s="3"/>
      <c r="H37" s="113">
        <v>250000</v>
      </c>
      <c r="I37" s="12" t="s">
        <v>52</v>
      </c>
      <c r="J37" s="3"/>
      <c r="K37" s="113">
        <v>1</v>
      </c>
      <c r="L37" s="113"/>
      <c r="M37" s="113"/>
      <c r="N37" s="113"/>
      <c r="O37" s="113"/>
      <c r="P37" s="3"/>
      <c r="Q37" s="8">
        <f t="shared" ref="Q37:U42" si="6">K37*$H37</f>
        <v>250000</v>
      </c>
      <c r="R37" s="8">
        <f t="shared" si="6"/>
        <v>0</v>
      </c>
      <c r="S37" s="8">
        <f t="shared" si="6"/>
        <v>0</v>
      </c>
      <c r="T37" s="8">
        <f t="shared" si="6"/>
        <v>0</v>
      </c>
      <c r="U37" s="8">
        <f t="shared" si="6"/>
        <v>0</v>
      </c>
      <c r="Z37"/>
    </row>
    <row r="38" spans="1:27" s="100" customFormat="1" ht="12.75" customHeight="1" x14ac:dyDescent="0.25">
      <c r="A38" s="7"/>
      <c r="C38" s="109" t="s">
        <v>94</v>
      </c>
      <c r="D38" s="110" t="s">
        <v>49</v>
      </c>
      <c r="E38" s="110" t="s">
        <v>5</v>
      </c>
      <c r="F38" s="111" t="s">
        <v>1</v>
      </c>
      <c r="G38" s="3"/>
      <c r="H38" s="113">
        <v>100000</v>
      </c>
      <c r="I38" s="12" t="s">
        <v>52</v>
      </c>
      <c r="J38" s="3"/>
      <c r="K38" s="113">
        <v>1</v>
      </c>
      <c r="L38" s="113"/>
      <c r="M38" s="113"/>
      <c r="N38" s="113"/>
      <c r="O38" s="113"/>
      <c r="P38" s="3"/>
      <c r="Q38" s="8">
        <f t="shared" si="6"/>
        <v>100000</v>
      </c>
      <c r="R38" s="8">
        <f t="shared" si="6"/>
        <v>0</v>
      </c>
      <c r="S38" s="8">
        <f t="shared" si="6"/>
        <v>0</v>
      </c>
      <c r="T38" s="8">
        <f t="shared" si="6"/>
        <v>0</v>
      </c>
      <c r="U38" s="8">
        <f t="shared" si="6"/>
        <v>0</v>
      </c>
      <c r="Z38"/>
    </row>
    <row r="39" spans="1:27" s="100" customFormat="1" ht="12.75" customHeight="1" x14ac:dyDescent="0.25">
      <c r="A39" s="7"/>
      <c r="C39" s="109" t="s">
        <v>95</v>
      </c>
      <c r="D39" s="110" t="s">
        <v>0</v>
      </c>
      <c r="E39" s="110" t="s">
        <v>5</v>
      </c>
      <c r="F39" s="111" t="s">
        <v>1</v>
      </c>
      <c r="G39" s="3"/>
      <c r="H39" s="113">
        <v>250000</v>
      </c>
      <c r="I39" s="12" t="s">
        <v>52</v>
      </c>
      <c r="J39" s="3"/>
      <c r="K39" s="113"/>
      <c r="L39" s="113">
        <v>1</v>
      </c>
      <c r="M39" s="113"/>
      <c r="N39" s="113"/>
      <c r="O39" s="113"/>
      <c r="P39" s="3"/>
      <c r="Q39" s="8">
        <f t="shared" si="6"/>
        <v>0</v>
      </c>
      <c r="R39" s="8">
        <f t="shared" si="6"/>
        <v>250000</v>
      </c>
      <c r="S39" s="8">
        <f t="shared" si="6"/>
        <v>0</v>
      </c>
      <c r="T39" s="8">
        <f t="shared" si="6"/>
        <v>0</v>
      </c>
      <c r="U39" s="8">
        <f t="shared" si="6"/>
        <v>0</v>
      </c>
      <c r="Z39"/>
    </row>
    <row r="40" spans="1:27" s="100" customFormat="1" ht="12.75" customHeight="1" x14ac:dyDescent="0.25">
      <c r="A40" s="7"/>
      <c r="C40" s="109" t="s">
        <v>96</v>
      </c>
      <c r="D40" s="110" t="s">
        <v>0</v>
      </c>
      <c r="E40" s="110" t="s">
        <v>5</v>
      </c>
      <c r="F40" s="111" t="s">
        <v>1</v>
      </c>
      <c r="G40" s="3"/>
      <c r="H40" s="113">
        <v>100000</v>
      </c>
      <c r="I40" s="12" t="s">
        <v>52</v>
      </c>
      <c r="J40" s="3"/>
      <c r="K40" s="113"/>
      <c r="L40" s="113">
        <v>1</v>
      </c>
      <c r="M40" s="113"/>
      <c r="N40" s="113"/>
      <c r="O40" s="113"/>
      <c r="P40" s="3"/>
      <c r="Q40" s="8">
        <f t="shared" si="6"/>
        <v>0</v>
      </c>
      <c r="R40" s="8">
        <f t="shared" si="6"/>
        <v>100000</v>
      </c>
      <c r="S40" s="8">
        <f t="shared" si="6"/>
        <v>0</v>
      </c>
      <c r="T40" s="8">
        <f t="shared" si="6"/>
        <v>0</v>
      </c>
      <c r="U40" s="8">
        <f t="shared" si="6"/>
        <v>0</v>
      </c>
      <c r="Z40"/>
    </row>
    <row r="41" spans="1:27" s="100" customFormat="1" ht="12.75" customHeight="1" x14ac:dyDescent="0.25">
      <c r="A41" s="7"/>
      <c r="C41" s="109"/>
      <c r="D41" s="110"/>
      <c r="E41" s="110"/>
      <c r="F41" s="111"/>
      <c r="G41" s="3"/>
      <c r="H41" s="113"/>
      <c r="I41" s="12" t="s">
        <v>52</v>
      </c>
      <c r="J41" s="3"/>
      <c r="K41" s="114"/>
      <c r="L41" s="115"/>
      <c r="M41" s="114"/>
      <c r="N41" s="115"/>
      <c r="O41" s="114"/>
      <c r="P41" s="3"/>
      <c r="Q41" s="8">
        <f t="shared" si="6"/>
        <v>0</v>
      </c>
      <c r="R41" s="8">
        <f t="shared" si="6"/>
        <v>0</v>
      </c>
      <c r="S41" s="8">
        <f t="shared" si="6"/>
        <v>0</v>
      </c>
      <c r="T41" s="8">
        <f t="shared" si="6"/>
        <v>0</v>
      </c>
      <c r="U41" s="8">
        <f t="shared" si="6"/>
        <v>0</v>
      </c>
      <c r="Z41"/>
    </row>
    <row r="42" spans="1:27" ht="12.75" customHeight="1" x14ac:dyDescent="0.2">
      <c r="A42" s="7" t="str">
        <f>IF(ISBLANK(B42),"",1+MAX(A$6:A37))</f>
        <v/>
      </c>
      <c r="C42" s="109"/>
      <c r="D42" s="110"/>
      <c r="E42" s="110"/>
      <c r="F42" s="111"/>
      <c r="G42" s="3"/>
      <c r="H42" s="113"/>
      <c r="I42" s="12" t="s">
        <v>52</v>
      </c>
      <c r="J42" s="3"/>
      <c r="K42" s="114"/>
      <c r="L42" s="115"/>
      <c r="M42" s="114"/>
      <c r="N42" s="115"/>
      <c r="O42" s="114"/>
      <c r="P42" s="3"/>
      <c r="Q42" s="8">
        <f t="shared" si="6"/>
        <v>0</v>
      </c>
      <c r="R42" s="8">
        <f t="shared" si="6"/>
        <v>0</v>
      </c>
      <c r="S42" s="8">
        <f t="shared" si="6"/>
        <v>0</v>
      </c>
      <c r="T42" s="8">
        <f t="shared" si="6"/>
        <v>0</v>
      </c>
      <c r="U42" s="8">
        <f t="shared" si="6"/>
        <v>0</v>
      </c>
      <c r="X42" s="100"/>
      <c r="Y42" s="100"/>
      <c r="Z42" s="100"/>
      <c r="AA42" s="100"/>
    </row>
    <row r="43" spans="1:27" ht="12.75" customHeigh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Z43"/>
    </row>
    <row r="44" spans="1:27" ht="12.75" customHeigh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Z44"/>
    </row>
    <row r="45" spans="1:27" ht="12.75" customHeight="1" x14ac:dyDescent="0.2">
      <c r="A45" s="7" t="str">
        <f>IF(ISBLANK(B45),"",1+MAX(A$6:A44))</f>
        <v/>
      </c>
      <c r="C45" s="109"/>
      <c r="D45" s="110"/>
      <c r="E45" s="110"/>
      <c r="F45" s="111"/>
      <c r="G45" s="100"/>
      <c r="H45" s="6"/>
      <c r="I45" s="13" t="s">
        <v>42</v>
      </c>
      <c r="J45" s="100"/>
      <c r="K45" s="113"/>
      <c r="L45" s="113"/>
      <c r="M45" s="113"/>
      <c r="N45" s="113"/>
      <c r="O45" s="113"/>
      <c r="P45" s="100"/>
      <c r="Q45" s="8">
        <f t="shared" ref="Q45:U55" si="7">K45</f>
        <v>0</v>
      </c>
      <c r="R45" s="8">
        <f t="shared" si="7"/>
        <v>0</v>
      </c>
      <c r="S45" s="8">
        <f t="shared" si="7"/>
        <v>0</v>
      </c>
      <c r="T45" s="8">
        <f t="shared" si="7"/>
        <v>0</v>
      </c>
      <c r="U45" s="8">
        <f t="shared" si="7"/>
        <v>0</v>
      </c>
    </row>
    <row r="46" spans="1:27" s="100" customFormat="1" ht="12.75" customHeight="1" x14ac:dyDescent="0.2">
      <c r="A46" s="7"/>
      <c r="C46" s="109"/>
      <c r="D46" s="110"/>
      <c r="E46" s="110"/>
      <c r="F46" s="111"/>
      <c r="H46" s="6"/>
      <c r="I46" s="13" t="s">
        <v>42</v>
      </c>
      <c r="K46" s="113"/>
      <c r="L46" s="113"/>
      <c r="M46" s="113"/>
      <c r="N46" s="113"/>
      <c r="O46" s="113"/>
      <c r="Q46" s="8">
        <f t="shared" si="7"/>
        <v>0</v>
      </c>
      <c r="R46" s="8">
        <f t="shared" si="7"/>
        <v>0</v>
      </c>
      <c r="S46" s="8">
        <f t="shared" si="7"/>
        <v>0</v>
      </c>
      <c r="T46" s="8">
        <f t="shared" si="7"/>
        <v>0</v>
      </c>
      <c r="U46" s="8">
        <f t="shared" si="7"/>
        <v>0</v>
      </c>
    </row>
    <row r="47" spans="1:27" s="100" customFormat="1" ht="12.75" customHeight="1" x14ac:dyDescent="0.2">
      <c r="A47" s="7"/>
      <c r="C47" s="109"/>
      <c r="D47" s="110"/>
      <c r="E47" s="110"/>
      <c r="F47" s="111"/>
      <c r="H47" s="6"/>
      <c r="I47" s="13" t="s">
        <v>42</v>
      </c>
      <c r="K47" s="113"/>
      <c r="L47" s="113"/>
      <c r="M47" s="113"/>
      <c r="N47" s="113"/>
      <c r="O47" s="113"/>
      <c r="Q47" s="8">
        <f t="shared" si="7"/>
        <v>0</v>
      </c>
      <c r="R47" s="8">
        <f t="shared" si="7"/>
        <v>0</v>
      </c>
      <c r="S47" s="8">
        <f t="shared" si="7"/>
        <v>0</v>
      </c>
      <c r="T47" s="8">
        <f t="shared" si="7"/>
        <v>0</v>
      </c>
      <c r="U47" s="8">
        <f t="shared" si="7"/>
        <v>0</v>
      </c>
    </row>
    <row r="48" spans="1:27" ht="12.75" customHeight="1" x14ac:dyDescent="0.2">
      <c r="A48" s="7"/>
      <c r="C48" s="109"/>
      <c r="D48" s="110"/>
      <c r="E48" s="110"/>
      <c r="F48" s="111"/>
      <c r="G48" s="100"/>
      <c r="H48" s="6"/>
      <c r="I48" s="13" t="s">
        <v>42</v>
      </c>
      <c r="J48" s="100"/>
      <c r="K48" s="113"/>
      <c r="L48" s="113"/>
      <c r="M48" s="113"/>
      <c r="N48" s="113"/>
      <c r="O48" s="113"/>
      <c r="P48" s="100"/>
      <c r="Q48" s="8">
        <f t="shared" si="7"/>
        <v>0</v>
      </c>
      <c r="R48" s="8">
        <f t="shared" si="7"/>
        <v>0</v>
      </c>
      <c r="S48" s="8">
        <f t="shared" si="7"/>
        <v>0</v>
      </c>
      <c r="T48" s="8">
        <f t="shared" si="7"/>
        <v>0</v>
      </c>
      <c r="U48" s="8">
        <f t="shared" si="7"/>
        <v>0</v>
      </c>
    </row>
    <row r="49" spans="1:26" s="100" customFormat="1" ht="12.75" customHeight="1" x14ac:dyDescent="0.2">
      <c r="A49" s="7"/>
      <c r="C49" s="109"/>
      <c r="D49" s="110"/>
      <c r="E49" s="110"/>
      <c r="F49" s="111"/>
      <c r="H49" s="6"/>
      <c r="I49" s="13" t="s">
        <v>42</v>
      </c>
      <c r="K49" s="113"/>
      <c r="L49" s="113"/>
      <c r="M49" s="113"/>
      <c r="N49" s="113"/>
      <c r="O49" s="113"/>
      <c r="Q49" s="8">
        <f t="shared" si="7"/>
        <v>0</v>
      </c>
      <c r="R49" s="8">
        <f t="shared" si="7"/>
        <v>0</v>
      </c>
      <c r="S49" s="8">
        <f t="shared" si="7"/>
        <v>0</v>
      </c>
      <c r="T49" s="8">
        <f t="shared" si="7"/>
        <v>0</v>
      </c>
      <c r="U49" s="8">
        <f t="shared" si="7"/>
        <v>0</v>
      </c>
    </row>
    <row r="50" spans="1:26" s="100" customFormat="1" ht="12.75" customHeight="1" x14ac:dyDescent="0.2">
      <c r="A50" s="7"/>
      <c r="C50" s="109"/>
      <c r="D50" s="110"/>
      <c r="E50" s="110"/>
      <c r="F50" s="111"/>
      <c r="H50" s="6"/>
      <c r="I50" s="13" t="s">
        <v>42</v>
      </c>
      <c r="K50" s="113"/>
      <c r="L50" s="113"/>
      <c r="M50" s="113"/>
      <c r="N50" s="113"/>
      <c r="O50" s="113"/>
      <c r="Q50" s="8">
        <f t="shared" si="7"/>
        <v>0</v>
      </c>
      <c r="R50" s="8">
        <f t="shared" si="7"/>
        <v>0</v>
      </c>
      <c r="S50" s="8">
        <f t="shared" si="7"/>
        <v>0</v>
      </c>
      <c r="T50" s="8">
        <f t="shared" si="7"/>
        <v>0</v>
      </c>
      <c r="U50" s="8">
        <f t="shared" si="7"/>
        <v>0</v>
      </c>
    </row>
    <row r="51" spans="1:26" s="100" customFormat="1" ht="12.75" customHeight="1" x14ac:dyDescent="0.2">
      <c r="A51" s="7"/>
      <c r="C51" s="109"/>
      <c r="D51" s="110"/>
      <c r="E51" s="110"/>
      <c r="F51" s="111"/>
      <c r="H51" s="6"/>
      <c r="I51" s="13" t="s">
        <v>42</v>
      </c>
      <c r="K51" s="113"/>
      <c r="L51" s="113"/>
      <c r="M51" s="113"/>
      <c r="N51" s="113"/>
      <c r="O51" s="113"/>
      <c r="Q51" s="8">
        <f t="shared" si="7"/>
        <v>0</v>
      </c>
      <c r="R51" s="8">
        <f t="shared" si="7"/>
        <v>0</v>
      </c>
      <c r="S51" s="8">
        <f t="shared" si="7"/>
        <v>0</v>
      </c>
      <c r="T51" s="8">
        <f t="shared" si="7"/>
        <v>0</v>
      </c>
      <c r="U51" s="8">
        <f t="shared" si="7"/>
        <v>0</v>
      </c>
    </row>
    <row r="52" spans="1:26" s="100" customFormat="1" ht="12.75" customHeight="1" x14ac:dyDescent="0.2">
      <c r="A52" s="7"/>
      <c r="C52" s="109"/>
      <c r="D52" s="110"/>
      <c r="E52" s="110"/>
      <c r="F52" s="111"/>
      <c r="H52" s="6"/>
      <c r="I52" s="13" t="s">
        <v>42</v>
      </c>
      <c r="K52" s="113"/>
      <c r="L52" s="113"/>
      <c r="M52" s="113"/>
      <c r="N52" s="113"/>
      <c r="O52" s="113"/>
      <c r="Q52" s="8">
        <f t="shared" si="7"/>
        <v>0</v>
      </c>
      <c r="R52" s="8">
        <f t="shared" si="7"/>
        <v>0</v>
      </c>
      <c r="S52" s="8">
        <f t="shared" si="7"/>
        <v>0</v>
      </c>
      <c r="T52" s="8">
        <f t="shared" si="7"/>
        <v>0</v>
      </c>
      <c r="U52" s="8">
        <f t="shared" si="7"/>
        <v>0</v>
      </c>
    </row>
    <row r="53" spans="1:26" s="100" customFormat="1" ht="12.75" customHeight="1" x14ac:dyDescent="0.2">
      <c r="A53" s="7"/>
      <c r="C53" s="109"/>
      <c r="D53" s="110"/>
      <c r="E53" s="110"/>
      <c r="F53" s="111"/>
      <c r="H53" s="6"/>
      <c r="I53" s="13" t="s">
        <v>42</v>
      </c>
      <c r="K53" s="113"/>
      <c r="L53" s="113"/>
      <c r="M53" s="113"/>
      <c r="N53" s="113"/>
      <c r="O53" s="113"/>
      <c r="Q53" s="8">
        <f t="shared" si="7"/>
        <v>0</v>
      </c>
      <c r="R53" s="8">
        <f t="shared" si="7"/>
        <v>0</v>
      </c>
      <c r="S53" s="8">
        <f t="shared" si="7"/>
        <v>0</v>
      </c>
      <c r="T53" s="8">
        <f t="shared" si="7"/>
        <v>0</v>
      </c>
      <c r="U53" s="8">
        <f t="shared" si="7"/>
        <v>0</v>
      </c>
    </row>
    <row r="54" spans="1:26" s="100" customFormat="1" ht="12.75" customHeight="1" x14ac:dyDescent="0.2">
      <c r="A54" s="7"/>
      <c r="C54" s="109"/>
      <c r="D54" s="110"/>
      <c r="E54" s="110"/>
      <c r="F54" s="111"/>
      <c r="H54" s="6"/>
      <c r="I54" s="13" t="s">
        <v>42</v>
      </c>
      <c r="K54" s="113"/>
      <c r="L54" s="113"/>
      <c r="M54" s="113"/>
      <c r="N54" s="113"/>
      <c r="O54" s="113"/>
      <c r="Q54" s="8">
        <f t="shared" si="7"/>
        <v>0</v>
      </c>
      <c r="R54" s="8">
        <f t="shared" si="7"/>
        <v>0</v>
      </c>
      <c r="S54" s="8">
        <f t="shared" si="7"/>
        <v>0</v>
      </c>
      <c r="T54" s="8">
        <f t="shared" si="7"/>
        <v>0</v>
      </c>
      <c r="U54" s="8">
        <f t="shared" si="7"/>
        <v>0</v>
      </c>
    </row>
    <row r="55" spans="1:26" ht="12.75" customHeight="1" x14ac:dyDescent="0.2">
      <c r="A55" s="7"/>
      <c r="B55" s="100"/>
      <c r="C55" s="109"/>
      <c r="D55" s="110"/>
      <c r="E55" s="110"/>
      <c r="F55" s="111"/>
      <c r="G55" s="100"/>
      <c r="H55" s="6"/>
      <c r="I55" s="13" t="s">
        <v>42</v>
      </c>
      <c r="J55" s="100"/>
      <c r="K55" s="113"/>
      <c r="L55" s="113"/>
      <c r="M55" s="113"/>
      <c r="N55" s="113"/>
      <c r="O55" s="113"/>
      <c r="P55" s="100"/>
      <c r="Q55" s="8">
        <f t="shared" si="7"/>
        <v>0</v>
      </c>
      <c r="R55" s="8">
        <f t="shared" si="7"/>
        <v>0</v>
      </c>
      <c r="S55" s="8">
        <f t="shared" si="7"/>
        <v>0</v>
      </c>
      <c r="T55" s="8">
        <f t="shared" si="7"/>
        <v>0</v>
      </c>
      <c r="U55" s="8">
        <f t="shared" si="7"/>
        <v>0</v>
      </c>
    </row>
    <row r="56" spans="1:26" ht="12.75" customHeight="1" x14ac:dyDescent="0.25">
      <c r="G56" s="100"/>
      <c r="J56" s="100"/>
      <c r="P56" s="100"/>
      <c r="Z56"/>
    </row>
    <row r="57" spans="1:26" ht="12.75" customHeight="1" x14ac:dyDescent="0.25">
      <c r="G57" s="100"/>
      <c r="J57" s="100"/>
      <c r="P57" s="100"/>
      <c r="Z57"/>
    </row>
    <row r="58" spans="1:26" ht="12.75" customHeight="1" x14ac:dyDescent="0.25">
      <c r="C58" s="5" t="s">
        <v>13</v>
      </c>
      <c r="D58" s="7"/>
      <c r="G58" s="100"/>
      <c r="J58" s="100"/>
      <c r="P58" s="100"/>
      <c r="Z58"/>
    </row>
    <row r="59" spans="1:26" ht="12.75" customHeight="1" x14ac:dyDescent="0.2">
      <c r="C59" s="28" t="s">
        <v>2</v>
      </c>
      <c r="D59" s="28"/>
      <c r="E59" s="28" t="s">
        <v>5</v>
      </c>
      <c r="F59" s="28"/>
      <c r="G59" s="100"/>
      <c r="H59" s="28"/>
      <c r="I59" s="29"/>
      <c r="J59" s="100"/>
      <c r="K59" s="28"/>
      <c r="L59" s="28"/>
      <c r="M59" s="28"/>
      <c r="N59" s="28"/>
      <c r="O59" s="28"/>
      <c r="P59" s="100"/>
      <c r="Q59" s="30">
        <f t="shared" ref="Q59:U64" si="8">SUMIFS(Q$10:Q$55,$F$10:$F$55,$C59,$E$10:$E$55,$E59)</f>
        <v>281060</v>
      </c>
      <c r="R59" s="30">
        <f t="shared" si="8"/>
        <v>2854897.5</v>
      </c>
      <c r="S59" s="30">
        <f t="shared" si="8"/>
        <v>1162427.5</v>
      </c>
      <c r="T59" s="30">
        <f t="shared" si="8"/>
        <v>281060</v>
      </c>
      <c r="U59" s="30">
        <f t="shared" si="8"/>
        <v>281060</v>
      </c>
    </row>
    <row r="60" spans="1:26" ht="12.75" customHeight="1" x14ac:dyDescent="0.2">
      <c r="C60" s="4" t="s">
        <v>1</v>
      </c>
      <c r="D60" s="4"/>
      <c r="E60" s="4" t="s">
        <v>5</v>
      </c>
      <c r="F60" s="4"/>
      <c r="G60" s="100"/>
      <c r="H60" s="4"/>
      <c r="I60" s="13"/>
      <c r="J60" s="100"/>
      <c r="K60" s="4"/>
      <c r="L60" s="4"/>
      <c r="M60" s="4"/>
      <c r="N60" s="4"/>
      <c r="O60" s="4"/>
      <c r="P60" s="100"/>
      <c r="Q60" s="9">
        <f t="shared" si="8"/>
        <v>350000</v>
      </c>
      <c r="R60" s="9">
        <f t="shared" si="8"/>
        <v>350000</v>
      </c>
      <c r="S60" s="9">
        <f t="shared" si="8"/>
        <v>0</v>
      </c>
      <c r="T60" s="9">
        <f t="shared" si="8"/>
        <v>0</v>
      </c>
      <c r="U60" s="9">
        <f t="shared" si="8"/>
        <v>0</v>
      </c>
    </row>
    <row r="61" spans="1:26" ht="12.75" customHeight="1" x14ac:dyDescent="0.2">
      <c r="C61" s="4" t="s">
        <v>4</v>
      </c>
      <c r="D61" s="4"/>
      <c r="E61" s="4" t="s">
        <v>5</v>
      </c>
      <c r="F61" s="4"/>
      <c r="G61" s="100"/>
      <c r="H61" s="4"/>
      <c r="I61" s="13"/>
      <c r="J61" s="100"/>
      <c r="K61" s="4"/>
      <c r="L61" s="4"/>
      <c r="M61" s="4"/>
      <c r="N61" s="4"/>
      <c r="O61" s="4"/>
      <c r="P61" s="100"/>
      <c r="Q61" s="9">
        <f t="shared" si="8"/>
        <v>0</v>
      </c>
      <c r="R61" s="9">
        <f t="shared" si="8"/>
        <v>0</v>
      </c>
      <c r="S61" s="9">
        <f t="shared" si="8"/>
        <v>0</v>
      </c>
      <c r="T61" s="9">
        <f t="shared" si="8"/>
        <v>0</v>
      </c>
      <c r="U61" s="9">
        <f t="shared" si="8"/>
        <v>0</v>
      </c>
    </row>
    <row r="62" spans="1:26" ht="12.75" customHeight="1" x14ac:dyDescent="0.2">
      <c r="C62" s="4" t="s">
        <v>2</v>
      </c>
      <c r="D62" s="4"/>
      <c r="E62" s="4" t="s">
        <v>41</v>
      </c>
      <c r="F62" s="4"/>
      <c r="G62" s="100"/>
      <c r="H62" s="4"/>
      <c r="I62" s="13"/>
      <c r="J62" s="100"/>
      <c r="K62" s="4"/>
      <c r="L62" s="4"/>
      <c r="M62" s="4"/>
      <c r="N62" s="4"/>
      <c r="O62" s="4"/>
      <c r="P62" s="100"/>
      <c r="Q62" s="9">
        <f t="shared" si="8"/>
        <v>0</v>
      </c>
      <c r="R62" s="9">
        <f t="shared" si="8"/>
        <v>0</v>
      </c>
      <c r="S62" s="9">
        <f t="shared" si="8"/>
        <v>0</v>
      </c>
      <c r="T62" s="9">
        <f t="shared" si="8"/>
        <v>0</v>
      </c>
      <c r="U62" s="9">
        <f t="shared" si="8"/>
        <v>0</v>
      </c>
    </row>
    <row r="63" spans="1:26" ht="12.75" customHeight="1" x14ac:dyDescent="0.2">
      <c r="C63" s="4" t="s">
        <v>1</v>
      </c>
      <c r="D63" s="4"/>
      <c r="E63" s="4" t="s">
        <v>41</v>
      </c>
      <c r="F63" s="4"/>
      <c r="G63" s="100"/>
      <c r="H63" s="4"/>
      <c r="I63" s="13"/>
      <c r="J63" s="100"/>
      <c r="K63" s="4"/>
      <c r="L63" s="4"/>
      <c r="M63" s="4"/>
      <c r="N63" s="4"/>
      <c r="O63" s="4"/>
      <c r="P63" s="100"/>
      <c r="Q63" s="9">
        <f t="shared" si="8"/>
        <v>0</v>
      </c>
      <c r="R63" s="9">
        <f t="shared" si="8"/>
        <v>0</v>
      </c>
      <c r="S63" s="9">
        <f t="shared" si="8"/>
        <v>0</v>
      </c>
      <c r="T63" s="9">
        <f t="shared" si="8"/>
        <v>0</v>
      </c>
      <c r="U63" s="9">
        <f t="shared" si="8"/>
        <v>0</v>
      </c>
    </row>
    <row r="64" spans="1:26" ht="12.75" customHeight="1" x14ac:dyDescent="0.2">
      <c r="C64" s="4" t="s">
        <v>4</v>
      </c>
      <c r="D64" s="4"/>
      <c r="E64" s="4" t="s">
        <v>41</v>
      </c>
      <c r="F64" s="7"/>
      <c r="G64" s="100"/>
      <c r="H64" s="7"/>
      <c r="I64" s="31"/>
      <c r="J64" s="100"/>
      <c r="K64" s="7"/>
      <c r="L64" s="7"/>
      <c r="M64" s="7"/>
      <c r="N64" s="7"/>
      <c r="O64" s="7"/>
      <c r="P64" s="100"/>
      <c r="Q64" s="9">
        <f t="shared" si="8"/>
        <v>0</v>
      </c>
      <c r="R64" s="9">
        <f t="shared" si="8"/>
        <v>0</v>
      </c>
      <c r="S64" s="9">
        <f t="shared" si="8"/>
        <v>0</v>
      </c>
      <c r="T64" s="9">
        <f t="shared" si="8"/>
        <v>0</v>
      </c>
      <c r="U64" s="9">
        <f t="shared" si="8"/>
        <v>0</v>
      </c>
    </row>
    <row r="65" spans="3:26" ht="12.75" customHeight="1" x14ac:dyDescent="0.2">
      <c r="C65" s="10" t="str">
        <f>"Total Expenditure ($ "&amp;Assumptions!$B$8&amp;")"</f>
        <v>Total Expenditure ($ 2018)</v>
      </c>
      <c r="D65" s="10"/>
      <c r="E65" s="10"/>
      <c r="F65" s="10"/>
      <c r="G65" s="100"/>
      <c r="H65" s="10"/>
      <c r="I65" s="14"/>
      <c r="J65" s="100"/>
      <c r="K65" s="10"/>
      <c r="L65" s="10"/>
      <c r="M65" s="10"/>
      <c r="N65" s="10"/>
      <c r="O65" s="10"/>
      <c r="P65" s="100"/>
      <c r="Q65" s="11">
        <f>SUM(Q59:Q64)</f>
        <v>631060</v>
      </c>
      <c r="R65" s="11">
        <f t="shared" ref="R65:U65" si="9">SUM(R59:R64)</f>
        <v>3204897.5</v>
      </c>
      <c r="S65" s="11">
        <f t="shared" si="9"/>
        <v>1162427.5</v>
      </c>
      <c r="T65" s="11">
        <f t="shared" si="9"/>
        <v>281060</v>
      </c>
      <c r="U65" s="11">
        <f t="shared" si="9"/>
        <v>281060</v>
      </c>
      <c r="V65" s="44"/>
      <c r="W65" s="100"/>
      <c r="X65" s="100"/>
      <c r="Y65" s="100"/>
    </row>
    <row r="66" spans="3:26" ht="12.75" customHeight="1" x14ac:dyDescent="0.2">
      <c r="C66" s="28" t="str">
        <f>"Total Expenditure ($ "&amp;Assumptions!B17&amp;")"</f>
        <v>Total Expenditure ($ 2020/21)</v>
      </c>
      <c r="D66" s="28"/>
      <c r="E66" s="28"/>
      <c r="F66" s="28"/>
      <c r="G66" s="100"/>
      <c r="H66" s="28"/>
      <c r="I66" s="29"/>
      <c r="J66" s="100"/>
      <c r="K66" s="28"/>
      <c r="L66" s="28"/>
      <c r="M66" s="28"/>
      <c r="N66" s="28"/>
      <c r="O66" s="28"/>
      <c r="P66" s="100"/>
      <c r="Q66" s="45">
        <f>Q65*Assumptions!$B$18</f>
        <v>668319.80876770208</v>
      </c>
      <c r="R66" s="45">
        <f>R65*Assumptions!$B$18</f>
        <v>3394124.9394987584</v>
      </c>
      <c r="S66" s="45">
        <f>S65*Assumptions!$B$18</f>
        <v>1231060.9522174089</v>
      </c>
      <c r="T66" s="45">
        <f>T65*Assumptions!$B$18</f>
        <v>297654.68489882158</v>
      </c>
      <c r="U66" s="45">
        <f>U65*Assumptions!$B$18</f>
        <v>297654.68489882158</v>
      </c>
      <c r="V66" s="44"/>
      <c r="W66" s="100"/>
      <c r="X66" s="100"/>
      <c r="Y66" s="100"/>
    </row>
    <row r="67" spans="3:26" x14ac:dyDescent="0.2">
      <c r="C67" s="101" t="s">
        <v>12</v>
      </c>
      <c r="D67" s="101"/>
      <c r="E67" s="101"/>
      <c r="F67" s="101"/>
      <c r="G67" s="100"/>
      <c r="H67" s="101"/>
      <c r="I67" s="101"/>
      <c r="J67" s="100"/>
      <c r="K67" s="101"/>
      <c r="L67" s="101"/>
      <c r="M67" s="101"/>
      <c r="N67" s="101"/>
      <c r="O67" s="101"/>
      <c r="P67" s="100"/>
      <c r="Q67" s="102">
        <f>Q65-SUM(Q10:Q55)</f>
        <v>0</v>
      </c>
      <c r="R67" s="102">
        <f>R65-SUM(R10:R55)</f>
        <v>0</v>
      </c>
      <c r="S67" s="102">
        <f>S65-SUM(S10:S55)</f>
        <v>0</v>
      </c>
      <c r="T67" s="102">
        <f>T65-SUM(T10:T55)</f>
        <v>0</v>
      </c>
      <c r="U67" s="102">
        <f>U65-SUM(U10:U55)</f>
        <v>0</v>
      </c>
      <c r="V67" s="100"/>
      <c r="W67" s="102">
        <f>SUM(Q67:U67)</f>
        <v>0</v>
      </c>
      <c r="X67" s="100"/>
      <c r="Y67" s="100"/>
    </row>
    <row r="68" spans="3:26" ht="12.75" customHeight="1" x14ac:dyDescent="0.2">
      <c r="C68" s="100"/>
      <c r="E68" s="100"/>
      <c r="F68" s="100"/>
      <c r="G68" s="100"/>
      <c r="H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</row>
    <row r="69" spans="3:26" ht="12.75" customHeight="1" x14ac:dyDescent="0.2">
      <c r="F69" s="40"/>
      <c r="G69" s="100"/>
      <c r="H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</row>
    <row r="70" spans="3:26" ht="12.75" customHeight="1" x14ac:dyDescent="0.2">
      <c r="G70" s="100"/>
      <c r="J70" s="100"/>
      <c r="P70" s="100"/>
    </row>
    <row r="71" spans="3:26" s="100" customFormat="1" ht="12.75" customHeight="1" x14ac:dyDescent="0.25">
      <c r="C71" s="5" t="s">
        <v>100</v>
      </c>
      <c r="D71" s="7"/>
      <c r="G71" s="3"/>
      <c r="I71" s="12"/>
      <c r="J71" s="3"/>
      <c r="P71" s="3"/>
      <c r="Z71"/>
    </row>
    <row r="72" spans="3:26" s="100" customFormat="1" ht="12.75" customHeight="1" x14ac:dyDescent="0.2">
      <c r="C72" s="28" t="s">
        <v>2</v>
      </c>
      <c r="D72" s="28" t="s">
        <v>0</v>
      </c>
      <c r="E72" s="28" t="s">
        <v>5</v>
      </c>
      <c r="F72" s="28"/>
      <c r="G72" s="3"/>
      <c r="H72" s="28"/>
      <c r="I72" s="29"/>
      <c r="J72" s="3"/>
      <c r="K72" s="28"/>
      <c r="L72" s="28"/>
      <c r="M72" s="28"/>
      <c r="N72" s="28"/>
      <c r="O72" s="28"/>
      <c r="P72" s="3"/>
      <c r="Q72" s="45">
        <f t="shared" ref="Q72:U80" si="10">SUMIFS(Q$10:Q$55,$F$10:$F$55,$C72,$E$10:$E$55,$E72,$D$10:$D$55,$D72)*Conv_2021</f>
        <v>0</v>
      </c>
      <c r="R72" s="45">
        <f t="shared" si="10"/>
        <v>0</v>
      </c>
      <c r="S72" s="45">
        <f t="shared" si="10"/>
        <v>0</v>
      </c>
      <c r="T72" s="45">
        <f t="shared" si="10"/>
        <v>0</v>
      </c>
      <c r="U72" s="45">
        <f t="shared" si="10"/>
        <v>0</v>
      </c>
    </row>
    <row r="73" spans="3:26" s="100" customFormat="1" ht="12.75" customHeight="1" x14ac:dyDescent="0.2">
      <c r="C73" s="4" t="s">
        <v>1</v>
      </c>
      <c r="D73" s="4" t="s">
        <v>0</v>
      </c>
      <c r="E73" s="4" t="s">
        <v>5</v>
      </c>
      <c r="F73" s="4"/>
      <c r="G73" s="3"/>
      <c r="H73" s="4"/>
      <c r="I73" s="13"/>
      <c r="J73" s="3"/>
      <c r="K73" s="4"/>
      <c r="L73" s="4"/>
      <c r="M73" s="4"/>
      <c r="N73" s="4"/>
      <c r="O73" s="4"/>
      <c r="P73" s="3"/>
      <c r="Q73" s="9">
        <f t="shared" si="10"/>
        <v>0</v>
      </c>
      <c r="R73" s="9">
        <f t="shared" si="10"/>
        <v>370665.1238688805</v>
      </c>
      <c r="S73" s="9">
        <f t="shared" si="10"/>
        <v>0</v>
      </c>
      <c r="T73" s="9">
        <f t="shared" si="10"/>
        <v>0</v>
      </c>
      <c r="U73" s="9">
        <f t="shared" si="10"/>
        <v>0</v>
      </c>
    </row>
    <row r="74" spans="3:26" s="100" customFormat="1" ht="12.75" customHeight="1" x14ac:dyDescent="0.2">
      <c r="C74" s="4" t="s">
        <v>4</v>
      </c>
      <c r="D74" s="4" t="s">
        <v>0</v>
      </c>
      <c r="E74" s="4" t="s">
        <v>5</v>
      </c>
      <c r="F74" s="4"/>
      <c r="G74" s="3"/>
      <c r="H74" s="4"/>
      <c r="I74" s="13"/>
      <c r="J74" s="3"/>
      <c r="K74" s="4"/>
      <c r="L74" s="4"/>
      <c r="M74" s="4"/>
      <c r="N74" s="4"/>
      <c r="O74" s="4"/>
      <c r="P74" s="3"/>
      <c r="Q74" s="9">
        <f t="shared" si="10"/>
        <v>0</v>
      </c>
      <c r="R74" s="9">
        <f t="shared" si="10"/>
        <v>0</v>
      </c>
      <c r="S74" s="9">
        <f t="shared" si="10"/>
        <v>0</v>
      </c>
      <c r="T74" s="9">
        <f t="shared" si="10"/>
        <v>0</v>
      </c>
      <c r="U74" s="9">
        <f t="shared" si="10"/>
        <v>0</v>
      </c>
    </row>
    <row r="75" spans="3:26" s="100" customFormat="1" ht="12.75" customHeight="1" x14ac:dyDescent="0.2">
      <c r="C75" s="4" t="s">
        <v>2</v>
      </c>
      <c r="D75" s="4" t="s">
        <v>49</v>
      </c>
      <c r="E75" s="4" t="s">
        <v>5</v>
      </c>
      <c r="F75" s="4"/>
      <c r="G75" s="3"/>
      <c r="H75" s="4"/>
      <c r="I75" s="13"/>
      <c r="J75" s="3"/>
      <c r="K75" s="4"/>
      <c r="L75" s="4"/>
      <c r="M75" s="4"/>
      <c r="N75" s="4"/>
      <c r="O75" s="4"/>
      <c r="P75" s="3"/>
      <c r="Q75" s="9">
        <f t="shared" si="10"/>
        <v>0</v>
      </c>
      <c r="R75" s="9">
        <f t="shared" si="10"/>
        <v>0</v>
      </c>
      <c r="S75" s="9">
        <f t="shared" si="10"/>
        <v>0</v>
      </c>
      <c r="T75" s="9">
        <f t="shared" si="10"/>
        <v>0</v>
      </c>
      <c r="U75" s="9">
        <f t="shared" si="10"/>
        <v>0</v>
      </c>
    </row>
    <row r="76" spans="3:26" s="100" customFormat="1" ht="12.75" customHeight="1" x14ac:dyDescent="0.2">
      <c r="C76" s="4" t="s">
        <v>1</v>
      </c>
      <c r="D76" s="4" t="s">
        <v>49</v>
      </c>
      <c r="E76" s="4" t="s">
        <v>5</v>
      </c>
      <c r="F76" s="4"/>
      <c r="G76" s="3"/>
      <c r="H76" s="4"/>
      <c r="I76" s="13"/>
      <c r="J76" s="3"/>
      <c r="K76" s="4"/>
      <c r="L76" s="4"/>
      <c r="M76" s="4"/>
      <c r="N76" s="4"/>
      <c r="O76" s="4"/>
      <c r="P76" s="3"/>
      <c r="Q76" s="9">
        <f t="shared" si="10"/>
        <v>370665.1238688805</v>
      </c>
      <c r="R76" s="9">
        <f t="shared" si="10"/>
        <v>0</v>
      </c>
      <c r="S76" s="9">
        <f t="shared" si="10"/>
        <v>0</v>
      </c>
      <c r="T76" s="9">
        <f t="shared" si="10"/>
        <v>0</v>
      </c>
      <c r="U76" s="9">
        <f t="shared" si="10"/>
        <v>0</v>
      </c>
    </row>
    <row r="77" spans="3:26" s="100" customFormat="1" ht="12.75" customHeight="1" x14ac:dyDescent="0.2">
      <c r="C77" s="4" t="s">
        <v>4</v>
      </c>
      <c r="D77" s="4" t="s">
        <v>49</v>
      </c>
      <c r="E77" s="4" t="s">
        <v>5</v>
      </c>
      <c r="F77" s="7"/>
      <c r="G77" s="3"/>
      <c r="H77" s="7"/>
      <c r="I77" s="31"/>
      <c r="J77" s="3"/>
      <c r="K77" s="7"/>
      <c r="L77" s="7"/>
      <c r="M77" s="7"/>
      <c r="N77" s="7"/>
      <c r="O77" s="7"/>
      <c r="P77" s="3"/>
      <c r="Q77" s="9">
        <f t="shared" si="10"/>
        <v>0</v>
      </c>
      <c r="R77" s="9">
        <f t="shared" si="10"/>
        <v>0</v>
      </c>
      <c r="S77" s="9">
        <f t="shared" si="10"/>
        <v>0</v>
      </c>
      <c r="T77" s="9">
        <f t="shared" si="10"/>
        <v>0</v>
      </c>
      <c r="U77" s="9">
        <f t="shared" si="10"/>
        <v>0</v>
      </c>
    </row>
    <row r="78" spans="3:26" s="100" customFormat="1" ht="12.75" customHeight="1" x14ac:dyDescent="0.2">
      <c r="C78" s="4" t="s">
        <v>2</v>
      </c>
      <c r="D78" s="4" t="s">
        <v>53</v>
      </c>
      <c r="E78" s="4" t="s">
        <v>5</v>
      </c>
      <c r="F78" s="7"/>
      <c r="G78" s="3"/>
      <c r="H78" s="7"/>
      <c r="I78" s="31"/>
      <c r="J78" s="3"/>
      <c r="K78" s="7"/>
      <c r="L78" s="7"/>
      <c r="M78" s="7"/>
      <c r="N78" s="7"/>
      <c r="O78" s="7"/>
      <c r="P78" s="3"/>
      <c r="Q78" s="9">
        <f t="shared" si="10"/>
        <v>297654.68489882158</v>
      </c>
      <c r="R78" s="9">
        <f t="shared" si="10"/>
        <v>3023459.8156298781</v>
      </c>
      <c r="S78" s="9">
        <f t="shared" si="10"/>
        <v>1231060.9522174089</v>
      </c>
      <c r="T78" s="9">
        <f t="shared" si="10"/>
        <v>297654.68489882158</v>
      </c>
      <c r="U78" s="9">
        <f t="shared" si="10"/>
        <v>297654.68489882158</v>
      </c>
    </row>
    <row r="79" spans="3:26" s="100" customFormat="1" ht="12.75" customHeight="1" x14ac:dyDescent="0.2">
      <c r="C79" s="4" t="s">
        <v>1</v>
      </c>
      <c r="D79" s="4" t="s">
        <v>53</v>
      </c>
      <c r="E79" s="4" t="s">
        <v>5</v>
      </c>
      <c r="F79" s="7"/>
      <c r="G79" s="3"/>
      <c r="H79" s="7"/>
      <c r="I79" s="31"/>
      <c r="J79" s="3"/>
      <c r="K79" s="7"/>
      <c r="L79" s="7"/>
      <c r="M79" s="7"/>
      <c r="N79" s="7"/>
      <c r="O79" s="7"/>
      <c r="P79" s="3"/>
      <c r="Q79" s="9">
        <f t="shared" si="10"/>
        <v>0</v>
      </c>
      <c r="R79" s="9">
        <f t="shared" si="10"/>
        <v>0</v>
      </c>
      <c r="S79" s="9">
        <f t="shared" si="10"/>
        <v>0</v>
      </c>
      <c r="T79" s="9">
        <f t="shared" si="10"/>
        <v>0</v>
      </c>
      <c r="U79" s="9">
        <f t="shared" si="10"/>
        <v>0</v>
      </c>
    </row>
    <row r="80" spans="3:26" s="100" customFormat="1" ht="12.75" customHeight="1" x14ac:dyDescent="0.2">
      <c r="C80" s="4" t="s">
        <v>4</v>
      </c>
      <c r="D80" s="4" t="s">
        <v>53</v>
      </c>
      <c r="E80" s="4" t="s">
        <v>5</v>
      </c>
      <c r="F80" s="7"/>
      <c r="G80" s="3"/>
      <c r="H80" s="7"/>
      <c r="I80" s="31"/>
      <c r="J80" s="3"/>
      <c r="K80" s="7"/>
      <c r="L80" s="7"/>
      <c r="M80" s="7"/>
      <c r="N80" s="7"/>
      <c r="O80" s="7"/>
      <c r="P80" s="3"/>
      <c r="Q80" s="9">
        <f t="shared" si="10"/>
        <v>0</v>
      </c>
      <c r="R80" s="9">
        <f t="shared" si="10"/>
        <v>0</v>
      </c>
      <c r="S80" s="9">
        <f t="shared" si="10"/>
        <v>0</v>
      </c>
      <c r="T80" s="9">
        <f t="shared" si="10"/>
        <v>0</v>
      </c>
      <c r="U80" s="9">
        <f t="shared" si="10"/>
        <v>0</v>
      </c>
    </row>
    <row r="81" spans="3:26" s="100" customFormat="1" ht="12.75" customHeight="1" x14ac:dyDescent="0.2">
      <c r="C81" s="10" t="s">
        <v>101</v>
      </c>
      <c r="D81" s="10"/>
      <c r="E81" s="10"/>
      <c r="F81" s="10"/>
      <c r="G81" s="3"/>
      <c r="H81" s="10"/>
      <c r="I81" s="14"/>
      <c r="J81" s="3"/>
      <c r="K81" s="10"/>
      <c r="L81" s="10"/>
      <c r="M81" s="10"/>
      <c r="N81" s="10"/>
      <c r="O81" s="10"/>
      <c r="P81" s="3"/>
      <c r="Q81" s="11">
        <f>SUM(Q72:Q80)</f>
        <v>668319.80876770208</v>
      </c>
      <c r="R81" s="11">
        <f t="shared" ref="R81:U81" si="11">SUM(R72:R80)</f>
        <v>3394124.9394987584</v>
      </c>
      <c r="S81" s="11">
        <f t="shared" si="11"/>
        <v>1231060.9522174089</v>
      </c>
      <c r="T81" s="11">
        <f t="shared" si="11"/>
        <v>297654.68489882158</v>
      </c>
      <c r="U81" s="11">
        <f t="shared" si="11"/>
        <v>297654.68489882158</v>
      </c>
      <c r="V81" s="44"/>
    </row>
    <row r="82" spans="3:26" s="100" customFormat="1" ht="12.75" customHeight="1" x14ac:dyDescent="0.2">
      <c r="C82" s="28"/>
      <c r="D82" s="28"/>
      <c r="E82" s="28"/>
      <c r="F82" s="28"/>
      <c r="G82" s="3"/>
      <c r="H82" s="28"/>
      <c r="I82" s="29"/>
      <c r="J82" s="3"/>
      <c r="K82" s="28"/>
      <c r="L82" s="28"/>
      <c r="M82" s="28"/>
      <c r="N82" s="28"/>
      <c r="O82" s="28"/>
      <c r="P82" s="3"/>
      <c r="Q82" s="45"/>
      <c r="R82" s="45"/>
      <c r="S82" s="45"/>
      <c r="T82" s="45"/>
      <c r="U82" s="45"/>
      <c r="V82" s="44"/>
    </row>
    <row r="83" spans="3:26" s="100" customFormat="1" ht="12.75" customHeight="1" x14ac:dyDescent="0.2">
      <c r="C83" s="101" t="s">
        <v>12</v>
      </c>
      <c r="D83" s="101"/>
      <c r="E83" s="101"/>
      <c r="F83" s="101"/>
      <c r="G83" s="3"/>
      <c r="H83" s="101"/>
      <c r="I83" s="101"/>
      <c r="J83" s="3"/>
      <c r="K83" s="101"/>
      <c r="L83" s="101"/>
      <c r="M83" s="101"/>
      <c r="N83" s="101"/>
      <c r="O83" s="101"/>
      <c r="P83" s="3"/>
      <c r="Q83" s="102">
        <f>Q66-Q81</f>
        <v>0</v>
      </c>
      <c r="R83" s="102">
        <f t="shared" ref="R83:U83" si="12">R66-R81</f>
        <v>0</v>
      </c>
      <c r="S83" s="102">
        <f t="shared" si="12"/>
        <v>0</v>
      </c>
      <c r="T83" s="102">
        <f t="shared" si="12"/>
        <v>0</v>
      </c>
      <c r="U83" s="102">
        <f t="shared" si="12"/>
        <v>0</v>
      </c>
      <c r="W83" s="102">
        <f>SUM(Q83:U83)</f>
        <v>0</v>
      </c>
    </row>
    <row r="86" spans="3:26" s="100" customFormat="1" ht="12.75" customHeight="1" x14ac:dyDescent="0.25">
      <c r="C86" s="5" t="s">
        <v>100</v>
      </c>
      <c r="D86" s="7"/>
      <c r="G86" s="3"/>
      <c r="I86" s="12"/>
      <c r="J86" s="3"/>
      <c r="P86" s="3"/>
      <c r="Z86"/>
    </row>
    <row r="87" spans="3:26" s="100" customFormat="1" ht="12.75" customHeight="1" x14ac:dyDescent="0.2">
      <c r="C87" s="28" t="s">
        <v>2</v>
      </c>
      <c r="D87" s="28" t="s">
        <v>0</v>
      </c>
      <c r="E87" s="28" t="s">
        <v>5</v>
      </c>
      <c r="F87" s="139" t="str">
        <f>C87&amp;D87</f>
        <v>LabourVPN</v>
      </c>
      <c r="G87" s="3"/>
      <c r="H87" s="28"/>
      <c r="I87" s="29"/>
      <c r="J87" s="3"/>
      <c r="K87" s="28"/>
      <c r="L87" s="28"/>
      <c r="M87" s="28"/>
      <c r="N87" s="28"/>
      <c r="O87" s="28"/>
      <c r="P87" s="3"/>
      <c r="Q87" s="45">
        <f>Q72+(Q78*Assumptions!$B$31)</f>
        <v>188234.97144797558</v>
      </c>
      <c r="R87" s="45">
        <f>R72+(R78*Assumptions!$B$31)</f>
        <v>1912017.1828057955</v>
      </c>
      <c r="S87" s="45">
        <f>S72+(S78*Assumptions!$B$31)</f>
        <v>778515.28952124692</v>
      </c>
      <c r="T87" s="45">
        <f>T72+(T78*Assumptions!$B$31)</f>
        <v>188234.97144797558</v>
      </c>
      <c r="U87" s="45">
        <f>U72+(U78*Assumptions!$B$31)</f>
        <v>188234.97144797558</v>
      </c>
    </row>
    <row r="88" spans="3:26" s="100" customFormat="1" ht="12.75" customHeight="1" x14ac:dyDescent="0.2">
      <c r="C88" s="4" t="s">
        <v>1</v>
      </c>
      <c r="D88" s="4" t="s">
        <v>0</v>
      </c>
      <c r="E88" s="4" t="s">
        <v>5</v>
      </c>
      <c r="F88" s="140" t="str">
        <f t="shared" ref="F88:F92" si="13">C88&amp;D88</f>
        <v>MaterialsVPN</v>
      </c>
      <c r="G88" s="3"/>
      <c r="H88" s="4"/>
      <c r="I88" s="13"/>
      <c r="J88" s="3"/>
      <c r="K88" s="4"/>
      <c r="L88" s="4"/>
      <c r="M88" s="4"/>
      <c r="N88" s="4"/>
      <c r="O88" s="4"/>
      <c r="P88" s="3"/>
      <c r="Q88" s="9">
        <f>Q73+(Q79*Assumptions!$B$31)</f>
        <v>0</v>
      </c>
      <c r="R88" s="9">
        <f>R73+(R79*Assumptions!$B$31)</f>
        <v>370665.1238688805</v>
      </c>
      <c r="S88" s="9">
        <f>S73+(S79*Assumptions!$B$31)</f>
        <v>0</v>
      </c>
      <c r="T88" s="9">
        <f>T73+(T79*Assumptions!$B$31)</f>
        <v>0</v>
      </c>
      <c r="U88" s="9">
        <f>U73+(U79*Assumptions!$B$31)</f>
        <v>0</v>
      </c>
    </row>
    <row r="89" spans="3:26" s="100" customFormat="1" ht="12.75" customHeight="1" x14ac:dyDescent="0.2">
      <c r="C89" s="4" t="s">
        <v>4</v>
      </c>
      <c r="D89" s="4" t="s">
        <v>0</v>
      </c>
      <c r="E89" s="4" t="s">
        <v>5</v>
      </c>
      <c r="F89" s="140" t="str">
        <f t="shared" si="13"/>
        <v>ContractsVPN</v>
      </c>
      <c r="G89" s="3"/>
      <c r="H89" s="4"/>
      <c r="I89" s="13"/>
      <c r="J89" s="3"/>
      <c r="K89" s="4"/>
      <c r="L89" s="4"/>
      <c r="M89" s="4"/>
      <c r="N89" s="4"/>
      <c r="O89" s="4"/>
      <c r="P89" s="3"/>
      <c r="Q89" s="9">
        <f>Q74+(Q80*Assumptions!$B$31)</f>
        <v>0</v>
      </c>
      <c r="R89" s="9">
        <f>R74+(R80*Assumptions!$B$31)</f>
        <v>0</v>
      </c>
      <c r="S89" s="9">
        <f>S74+(S80*Assumptions!$B$31)</f>
        <v>0</v>
      </c>
      <c r="T89" s="9">
        <f>T74+(T80*Assumptions!$B$31)</f>
        <v>0</v>
      </c>
      <c r="U89" s="9">
        <f>U74+(U80*Assumptions!$B$31)</f>
        <v>0</v>
      </c>
    </row>
    <row r="90" spans="3:26" s="100" customFormat="1" ht="12.75" customHeight="1" x14ac:dyDescent="0.2">
      <c r="C90" s="4" t="s">
        <v>2</v>
      </c>
      <c r="D90" s="4" t="s">
        <v>49</v>
      </c>
      <c r="E90" s="4" t="s">
        <v>5</v>
      </c>
      <c r="F90" s="140" t="str">
        <f t="shared" si="13"/>
        <v>LabourUE</v>
      </c>
      <c r="G90" s="3"/>
      <c r="H90" s="4"/>
      <c r="I90" s="13"/>
      <c r="J90" s="3"/>
      <c r="K90" s="4"/>
      <c r="L90" s="4"/>
      <c r="M90" s="4"/>
      <c r="N90" s="4"/>
      <c r="O90" s="4"/>
      <c r="P90" s="3"/>
      <c r="Q90" s="146">
        <f>Q75+(Q78*Assumptions!$B$32)</f>
        <v>109419.713450846</v>
      </c>
      <c r="R90" s="146">
        <f>R75+(R78*Assumptions!$B$32)</f>
        <v>1111442.6328240826</v>
      </c>
      <c r="S90" s="146">
        <f>S75+(S78*Assumptions!$B$32)</f>
        <v>452545.66269616206</v>
      </c>
      <c r="T90" s="146">
        <f>T75+(T78*Assumptions!$B$32)</f>
        <v>109419.713450846</v>
      </c>
      <c r="U90" s="146">
        <f>U75+(U78*Assumptions!$B$32)</f>
        <v>109419.713450846</v>
      </c>
    </row>
    <row r="91" spans="3:26" s="100" customFormat="1" ht="12.75" customHeight="1" x14ac:dyDescent="0.2">
      <c r="C91" s="4" t="s">
        <v>1</v>
      </c>
      <c r="D91" s="4" t="s">
        <v>49</v>
      </c>
      <c r="E91" s="4" t="s">
        <v>5</v>
      </c>
      <c r="F91" s="140" t="str">
        <f t="shared" si="13"/>
        <v>MaterialsUE</v>
      </c>
      <c r="G91" s="3"/>
      <c r="H91" s="4"/>
      <c r="I91" s="13"/>
      <c r="J91" s="3"/>
      <c r="K91" s="4"/>
      <c r="L91" s="4"/>
      <c r="M91" s="4"/>
      <c r="N91" s="4"/>
      <c r="O91" s="4"/>
      <c r="P91" s="3"/>
      <c r="Q91" s="146">
        <f>Q76+(Q79*Assumptions!$B$31)</f>
        <v>370665.1238688805</v>
      </c>
      <c r="R91" s="146">
        <f>R76+(R79*Assumptions!$B$31)</f>
        <v>0</v>
      </c>
      <c r="S91" s="146">
        <f>S76+(S79*Assumptions!$B$31)</f>
        <v>0</v>
      </c>
      <c r="T91" s="146">
        <f>T76+(T79*Assumptions!$B$31)</f>
        <v>0</v>
      </c>
      <c r="U91" s="146">
        <f>U76+(U79*Assumptions!$B$31)</f>
        <v>0</v>
      </c>
    </row>
    <row r="92" spans="3:26" s="100" customFormat="1" ht="12.75" customHeight="1" x14ac:dyDescent="0.2">
      <c r="C92" s="4" t="s">
        <v>4</v>
      </c>
      <c r="D92" s="4" t="s">
        <v>49</v>
      </c>
      <c r="E92" s="4" t="s">
        <v>5</v>
      </c>
      <c r="F92" s="140" t="str">
        <f t="shared" si="13"/>
        <v>ContractsUE</v>
      </c>
      <c r="G92" s="3"/>
      <c r="H92" s="7"/>
      <c r="I92" s="31"/>
      <c r="J92" s="3"/>
      <c r="K92" s="7"/>
      <c r="L92" s="7"/>
      <c r="M92" s="7"/>
      <c r="N92" s="7"/>
      <c r="O92" s="7"/>
      <c r="P92" s="3"/>
      <c r="Q92" s="146">
        <f>Q77+(Q80*Assumptions!$B$31)</f>
        <v>0</v>
      </c>
      <c r="R92" s="146">
        <f>R77+(R80*Assumptions!$B$31)</f>
        <v>0</v>
      </c>
      <c r="S92" s="146">
        <f>S77+(S80*Assumptions!$B$31)</f>
        <v>0</v>
      </c>
      <c r="T92" s="146">
        <f>T77+(T80*Assumptions!$B$31)</f>
        <v>0</v>
      </c>
      <c r="U92" s="146">
        <f>U77+(U80*Assumptions!$B$31)</f>
        <v>0</v>
      </c>
    </row>
    <row r="93" spans="3:26" s="100" customFormat="1" ht="12.75" customHeight="1" x14ac:dyDescent="0.2">
      <c r="C93" s="10" t="s">
        <v>101</v>
      </c>
      <c r="D93" s="10"/>
      <c r="E93" s="10"/>
      <c r="F93" s="10"/>
      <c r="G93" s="3"/>
      <c r="H93" s="10"/>
      <c r="I93" s="14"/>
      <c r="J93" s="3"/>
      <c r="K93" s="10"/>
      <c r="L93" s="10"/>
      <c r="M93" s="10"/>
      <c r="N93" s="10"/>
      <c r="O93" s="10"/>
      <c r="P93" s="3"/>
      <c r="Q93" s="11">
        <f>SUM(Q87:Q92)</f>
        <v>668319.80876770208</v>
      </c>
      <c r="R93" s="11">
        <f t="shared" ref="R93:U93" si="14">SUM(R87:R92)</f>
        <v>3394124.9394987589</v>
      </c>
      <c r="S93" s="11">
        <f t="shared" si="14"/>
        <v>1231060.9522174089</v>
      </c>
      <c r="T93" s="11">
        <f t="shared" si="14"/>
        <v>297654.68489882158</v>
      </c>
      <c r="U93" s="11">
        <f t="shared" si="14"/>
        <v>297654.68489882158</v>
      </c>
      <c r="V93" s="44"/>
    </row>
    <row r="95" spans="3:26" s="100" customFormat="1" ht="12.75" customHeight="1" x14ac:dyDescent="0.2">
      <c r="C95" s="101" t="s">
        <v>12</v>
      </c>
      <c r="D95" s="101"/>
      <c r="E95" s="101"/>
      <c r="F95" s="101"/>
      <c r="G95" s="3"/>
      <c r="H95" s="101"/>
      <c r="I95" s="101"/>
      <c r="J95" s="3"/>
      <c r="K95" s="101"/>
      <c r="L95" s="101"/>
      <c r="M95" s="101"/>
      <c r="N95" s="101"/>
      <c r="O95" s="101"/>
      <c r="P95" s="3"/>
      <c r="Q95" s="102">
        <f>Q81-Q93</f>
        <v>0</v>
      </c>
      <c r="R95" s="102">
        <f t="shared" ref="R95:U95" si="15">R81-R93</f>
        <v>0</v>
      </c>
      <c r="S95" s="102">
        <f t="shared" si="15"/>
        <v>0</v>
      </c>
      <c r="T95" s="102">
        <f t="shared" si="15"/>
        <v>0</v>
      </c>
      <c r="U95" s="102">
        <f t="shared" si="15"/>
        <v>0</v>
      </c>
      <c r="W95" s="102">
        <f>SUM(Q95:U95)</f>
        <v>0</v>
      </c>
    </row>
    <row r="97" spans="3:4" x14ac:dyDescent="0.2">
      <c r="C97" s="10" t="str">
        <f>"NPV ($ "&amp;Assumptions!$B$17&amp;")"</f>
        <v>NPV ($ 2020/21)</v>
      </c>
      <c r="D97" s="147">
        <f>NPV(Assumptions!$B$6,$Q$93:$U$93)</f>
        <v>5527090.9107073732</v>
      </c>
    </row>
  </sheetData>
  <conditionalFormatting sqref="W67">
    <cfRule type="expression" dxfId="9" priority="6">
      <formula>ABS(W67)&gt;0.001</formula>
    </cfRule>
  </conditionalFormatting>
  <conditionalFormatting sqref="Q67:U67">
    <cfRule type="expression" dxfId="8" priority="5">
      <formula>ABS(Q67)&gt;0.001</formula>
    </cfRule>
  </conditionalFormatting>
  <conditionalFormatting sqref="W83">
    <cfRule type="expression" dxfId="7" priority="4">
      <formula>ABS(W83)&gt;0.001</formula>
    </cfRule>
  </conditionalFormatting>
  <conditionalFormatting sqref="Q83:U83">
    <cfRule type="expression" dxfId="6" priority="3">
      <formula>ABS(Q83)&gt;0.001</formula>
    </cfRule>
  </conditionalFormatting>
  <conditionalFormatting sqref="W95">
    <cfRule type="expression" dxfId="5" priority="2">
      <formula>ABS(W95)&gt;0.001</formula>
    </cfRule>
  </conditionalFormatting>
  <conditionalFormatting sqref="Q95:U95">
    <cfRule type="expression" dxfId="4" priority="1">
      <formula>ABS(Q95)&gt;0.001</formula>
    </cfRule>
  </conditionalFormatting>
  <dataValidations count="3">
    <dataValidation type="list" allowBlank="1" showInputMessage="1" showErrorMessage="1" sqref="F45:F55 F10:F34 F37:F42">
      <formula1>"Labour, Materials, Contracts"</formula1>
    </dataValidation>
    <dataValidation type="list" allowBlank="1" showInputMessage="1" showErrorMessage="1" sqref="E45:E55 E10:E34 E37:E42">
      <formula1>"CapEx, OpEx"</formula1>
    </dataValidation>
    <dataValidation type="list" allowBlank="1" showInputMessage="1" showErrorMessage="1" sqref="D10:D34 D45:D55 D37:D42">
      <formula1>"VPN, UE, All"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Z104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4.140625" style="1" customWidth="1"/>
    <col min="3" max="3" width="58.5703125" style="1" bestFit="1" customWidth="1"/>
    <col min="4" max="4" width="11.5703125" style="100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3" ht="21" x14ac:dyDescent="0.35">
      <c r="A1" s="18" t="str">
        <f>Assumptions!A1</f>
        <v>BIBW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3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3" s="39" customFormat="1" ht="15" x14ac:dyDescent="0.25">
      <c r="A3" s="37" t="s">
        <v>50</v>
      </c>
      <c r="B3" s="37"/>
      <c r="C3" s="37"/>
      <c r="D3" s="37"/>
      <c r="E3" s="37"/>
      <c r="F3" s="37"/>
      <c r="G3" s="37"/>
      <c r="H3" s="37"/>
      <c r="I3" s="38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W3" s="120" t="b">
        <f>SUM(W7:W89)=0</f>
        <v>1</v>
      </c>
    </row>
    <row r="4" spans="1:23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3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3" ht="12.75" customHeight="1" x14ac:dyDescent="0.2">
      <c r="A6" s="7"/>
    </row>
    <row r="7" spans="1:23" ht="12.75" customHeight="1" x14ac:dyDescent="0.2">
      <c r="A7" s="7"/>
      <c r="C7" s="122" t="s">
        <v>44</v>
      </c>
      <c r="D7" s="122"/>
      <c r="E7" s="23" t="s">
        <v>23</v>
      </c>
      <c r="F7" s="23" t="s">
        <v>9</v>
      </c>
      <c r="G7" s="100"/>
      <c r="H7" s="23" t="s">
        <v>15</v>
      </c>
      <c r="I7" s="23" t="s">
        <v>10</v>
      </c>
      <c r="J7" s="100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3" ht="12.75" customHeight="1" x14ac:dyDescent="0.2">
      <c r="A8" s="7"/>
      <c r="B8" s="7"/>
      <c r="C8" s="7"/>
      <c r="D8" s="7"/>
      <c r="E8" s="7"/>
      <c r="F8" s="7"/>
      <c r="G8" s="100"/>
      <c r="H8" s="7"/>
      <c r="I8" s="7"/>
      <c r="J8" s="4"/>
      <c r="K8" s="123" t="s">
        <v>16</v>
      </c>
      <c r="L8" s="123" t="s">
        <v>17</v>
      </c>
      <c r="M8" s="123" t="s">
        <v>18</v>
      </c>
      <c r="N8" s="123" t="s">
        <v>19</v>
      </c>
      <c r="O8" s="123" t="s">
        <v>20</v>
      </c>
      <c r="P8" s="4"/>
      <c r="Q8" s="123" t="s">
        <v>16</v>
      </c>
      <c r="R8" s="123" t="s">
        <v>17</v>
      </c>
      <c r="S8" s="123" t="s">
        <v>18</v>
      </c>
      <c r="T8" s="123" t="s">
        <v>19</v>
      </c>
      <c r="U8" s="123" t="s">
        <v>20</v>
      </c>
    </row>
    <row r="9" spans="1:23" x14ac:dyDescent="0.2">
      <c r="D9" s="4"/>
      <c r="G9" s="100"/>
    </row>
    <row r="10" spans="1:23" ht="12.75" customHeight="1" x14ac:dyDescent="0.2">
      <c r="C10" s="109" t="s">
        <v>69</v>
      </c>
      <c r="D10" s="110" t="s">
        <v>0</v>
      </c>
      <c r="E10" s="110" t="s">
        <v>5</v>
      </c>
      <c r="F10" s="111" t="s">
        <v>2</v>
      </c>
      <c r="G10" s="3"/>
      <c r="H10" s="112">
        <v>122.2</v>
      </c>
      <c r="I10" s="12" t="s">
        <v>51</v>
      </c>
      <c r="J10" s="3"/>
      <c r="K10" s="113">
        <v>1500</v>
      </c>
      <c r="L10" s="113">
        <v>1500</v>
      </c>
      <c r="M10" s="113">
        <v>1500</v>
      </c>
      <c r="N10" s="113">
        <v>1500</v>
      </c>
      <c r="O10" s="113">
        <v>1500</v>
      </c>
      <c r="P10" s="3"/>
      <c r="Q10" s="8">
        <f t="shared" ref="Q10:U11" si="0">K10*$H10</f>
        <v>183300</v>
      </c>
      <c r="R10" s="8">
        <f t="shared" si="0"/>
        <v>183300</v>
      </c>
      <c r="S10" s="8">
        <f t="shared" si="0"/>
        <v>183300</v>
      </c>
      <c r="T10" s="8">
        <f t="shared" si="0"/>
        <v>183300</v>
      </c>
      <c r="U10" s="8">
        <f t="shared" si="0"/>
        <v>183300</v>
      </c>
    </row>
    <row r="11" spans="1:23" ht="12.75" customHeight="1" x14ac:dyDescent="0.2">
      <c r="A11" s="7"/>
      <c r="C11" s="109" t="s">
        <v>70</v>
      </c>
      <c r="D11" s="110" t="s">
        <v>0</v>
      </c>
      <c r="E11" s="110" t="s">
        <v>5</v>
      </c>
      <c r="F11" s="111" t="s">
        <v>2</v>
      </c>
      <c r="G11" s="3"/>
      <c r="H11" s="112">
        <v>122.2</v>
      </c>
      <c r="I11" s="12" t="s">
        <v>51</v>
      </c>
      <c r="J11" s="3"/>
      <c r="K11" s="113"/>
      <c r="L11" s="113">
        <v>500</v>
      </c>
      <c r="M11" s="113"/>
      <c r="N11" s="113"/>
      <c r="O11" s="113"/>
      <c r="P11" s="3"/>
      <c r="Q11" s="8">
        <f t="shared" si="0"/>
        <v>0</v>
      </c>
      <c r="R11" s="8">
        <f t="shared" si="0"/>
        <v>61100</v>
      </c>
      <c r="S11" s="8">
        <f t="shared" si="0"/>
        <v>0</v>
      </c>
      <c r="T11" s="8">
        <f t="shared" si="0"/>
        <v>0</v>
      </c>
      <c r="U11" s="8">
        <f t="shared" si="0"/>
        <v>0</v>
      </c>
    </row>
    <row r="12" spans="1:23" s="100" customFormat="1" ht="12.75" customHeight="1" x14ac:dyDescent="0.2">
      <c r="A12" s="7"/>
      <c r="C12" s="109" t="s">
        <v>71</v>
      </c>
      <c r="D12" s="110" t="s">
        <v>0</v>
      </c>
      <c r="E12" s="110" t="s">
        <v>5</v>
      </c>
      <c r="F12" s="111" t="s">
        <v>2</v>
      </c>
      <c r="G12" s="3"/>
      <c r="H12" s="112">
        <v>122.2</v>
      </c>
      <c r="I12" s="12" t="s">
        <v>51</v>
      </c>
      <c r="J12" s="3"/>
      <c r="K12" s="113"/>
      <c r="L12" s="113">
        <v>500</v>
      </c>
      <c r="M12" s="113"/>
      <c r="N12" s="113"/>
      <c r="O12" s="113"/>
      <c r="P12" s="3"/>
      <c r="Q12" s="8">
        <f t="shared" ref="Q12:Q54" si="1">K12*$H12</f>
        <v>0</v>
      </c>
      <c r="R12" s="8">
        <f t="shared" ref="R12:R54" si="2">L12*$H12</f>
        <v>61100</v>
      </c>
      <c r="S12" s="8">
        <f t="shared" ref="S12:S54" si="3">M12*$H12</f>
        <v>0</v>
      </c>
      <c r="T12" s="8">
        <f t="shared" ref="T12:T54" si="4">N12*$H12</f>
        <v>0</v>
      </c>
      <c r="U12" s="8">
        <f t="shared" ref="U12:U54" si="5">O12*$H12</f>
        <v>0</v>
      </c>
    </row>
    <row r="13" spans="1:23" s="100" customFormat="1" ht="12.75" customHeight="1" x14ac:dyDescent="0.2">
      <c r="A13" s="7"/>
      <c r="C13" s="109" t="s">
        <v>72</v>
      </c>
      <c r="D13" s="110" t="s">
        <v>0</v>
      </c>
      <c r="E13" s="110" t="s">
        <v>5</v>
      </c>
      <c r="F13" s="111" t="s">
        <v>2</v>
      </c>
      <c r="G13" s="3"/>
      <c r="H13" s="112">
        <v>122.2</v>
      </c>
      <c r="I13" s="12" t="s">
        <v>51</v>
      </c>
      <c r="J13" s="3"/>
      <c r="K13" s="113"/>
      <c r="L13" s="113">
        <v>1500</v>
      </c>
      <c r="M13" s="113"/>
      <c r="N13" s="113"/>
      <c r="O13" s="113"/>
      <c r="P13" s="3"/>
      <c r="Q13" s="8">
        <f t="shared" si="1"/>
        <v>0</v>
      </c>
      <c r="R13" s="8">
        <f t="shared" si="2"/>
        <v>183300</v>
      </c>
      <c r="S13" s="8">
        <f t="shared" si="3"/>
        <v>0</v>
      </c>
      <c r="T13" s="8">
        <f t="shared" si="4"/>
        <v>0</v>
      </c>
      <c r="U13" s="8">
        <f t="shared" si="5"/>
        <v>0</v>
      </c>
    </row>
    <row r="14" spans="1:23" s="100" customFormat="1" ht="12.75" customHeight="1" x14ac:dyDescent="0.2">
      <c r="A14" s="7"/>
      <c r="C14" s="109" t="s">
        <v>73</v>
      </c>
      <c r="D14" s="110" t="s">
        <v>0</v>
      </c>
      <c r="E14" s="110" t="s">
        <v>5</v>
      </c>
      <c r="F14" s="111" t="s">
        <v>2</v>
      </c>
      <c r="G14" s="3"/>
      <c r="H14" s="112">
        <v>122.2</v>
      </c>
      <c r="I14" s="12" t="s">
        <v>51</v>
      </c>
      <c r="J14" s="3"/>
      <c r="K14" s="113"/>
      <c r="L14" s="113">
        <v>800</v>
      </c>
      <c r="M14" s="113"/>
      <c r="N14" s="113"/>
      <c r="O14" s="113"/>
      <c r="P14" s="3"/>
      <c r="Q14" s="8">
        <f t="shared" si="1"/>
        <v>0</v>
      </c>
      <c r="R14" s="8">
        <f t="shared" si="2"/>
        <v>97760</v>
      </c>
      <c r="S14" s="8">
        <f t="shared" si="3"/>
        <v>0</v>
      </c>
      <c r="T14" s="8">
        <f t="shared" si="4"/>
        <v>0</v>
      </c>
      <c r="U14" s="8">
        <f t="shared" si="5"/>
        <v>0</v>
      </c>
    </row>
    <row r="15" spans="1:23" s="100" customFormat="1" ht="12.75" customHeight="1" x14ac:dyDescent="0.2">
      <c r="A15" s="7"/>
      <c r="C15" s="109" t="s">
        <v>74</v>
      </c>
      <c r="D15" s="110" t="s">
        <v>0</v>
      </c>
      <c r="E15" s="110" t="s">
        <v>5</v>
      </c>
      <c r="F15" s="111" t="s">
        <v>2</v>
      </c>
      <c r="G15" s="3"/>
      <c r="H15" s="112">
        <v>122.2</v>
      </c>
      <c r="I15" s="12" t="s">
        <v>51</v>
      </c>
      <c r="J15" s="3"/>
      <c r="K15" s="113"/>
      <c r="L15" s="113">
        <v>2000</v>
      </c>
      <c r="M15" s="113"/>
      <c r="N15" s="113"/>
      <c r="O15" s="113"/>
      <c r="P15" s="3"/>
      <c r="Q15" s="8">
        <f t="shared" si="1"/>
        <v>0</v>
      </c>
      <c r="R15" s="8">
        <f t="shared" si="2"/>
        <v>244400</v>
      </c>
      <c r="S15" s="8">
        <f t="shared" si="3"/>
        <v>0</v>
      </c>
      <c r="T15" s="8">
        <f t="shared" si="4"/>
        <v>0</v>
      </c>
      <c r="U15" s="8">
        <f t="shared" si="5"/>
        <v>0</v>
      </c>
    </row>
    <row r="16" spans="1:23" s="100" customFormat="1" ht="12.75" customHeight="1" x14ac:dyDescent="0.2">
      <c r="A16" s="7"/>
      <c r="C16" s="109" t="s">
        <v>75</v>
      </c>
      <c r="D16" s="110" t="s">
        <v>0</v>
      </c>
      <c r="E16" s="110" t="s">
        <v>5</v>
      </c>
      <c r="F16" s="111" t="s">
        <v>2</v>
      </c>
      <c r="G16" s="3"/>
      <c r="H16" s="112">
        <v>122.2</v>
      </c>
      <c r="I16" s="12" t="s">
        <v>51</v>
      </c>
      <c r="J16" s="3"/>
      <c r="K16" s="113"/>
      <c r="L16" s="113">
        <v>500</v>
      </c>
      <c r="M16" s="113"/>
      <c r="N16" s="113"/>
      <c r="O16" s="113"/>
      <c r="P16" s="3"/>
      <c r="Q16" s="8">
        <f t="shared" si="1"/>
        <v>0</v>
      </c>
      <c r="R16" s="8">
        <f t="shared" si="2"/>
        <v>61100</v>
      </c>
      <c r="S16" s="8">
        <f t="shared" si="3"/>
        <v>0</v>
      </c>
      <c r="T16" s="8">
        <f t="shared" si="4"/>
        <v>0</v>
      </c>
      <c r="U16" s="8">
        <f t="shared" si="5"/>
        <v>0</v>
      </c>
    </row>
    <row r="17" spans="1:26" s="100" customFormat="1" ht="12.75" customHeight="1" x14ac:dyDescent="0.2">
      <c r="A17" s="7"/>
      <c r="C17" s="109" t="s">
        <v>76</v>
      </c>
      <c r="D17" s="110" t="s">
        <v>0</v>
      </c>
      <c r="E17" s="110" t="s">
        <v>5</v>
      </c>
      <c r="F17" s="111" t="s">
        <v>2</v>
      </c>
      <c r="G17" s="3"/>
      <c r="H17" s="112">
        <v>122.2</v>
      </c>
      <c r="I17" s="12" t="s">
        <v>51</v>
      </c>
      <c r="J17" s="3"/>
      <c r="K17" s="113"/>
      <c r="L17" s="113">
        <v>500</v>
      </c>
      <c r="M17" s="113"/>
      <c r="N17" s="113"/>
      <c r="O17" s="113"/>
      <c r="P17" s="3"/>
      <c r="Q17" s="8">
        <f t="shared" si="1"/>
        <v>0</v>
      </c>
      <c r="R17" s="8">
        <f t="shared" si="2"/>
        <v>61100</v>
      </c>
      <c r="S17" s="8">
        <f t="shared" si="3"/>
        <v>0</v>
      </c>
      <c r="T17" s="8">
        <f t="shared" si="4"/>
        <v>0</v>
      </c>
      <c r="U17" s="8">
        <f t="shared" si="5"/>
        <v>0</v>
      </c>
    </row>
    <row r="18" spans="1:26" s="100" customFormat="1" ht="12.75" customHeight="1" x14ac:dyDescent="0.2">
      <c r="A18" s="7"/>
      <c r="C18" s="109" t="s">
        <v>77</v>
      </c>
      <c r="D18" s="110" t="s">
        <v>0</v>
      </c>
      <c r="E18" s="110" t="s">
        <v>5</v>
      </c>
      <c r="F18" s="111" t="s">
        <v>2</v>
      </c>
      <c r="G18" s="3"/>
      <c r="H18" s="112">
        <v>122.2</v>
      </c>
      <c r="I18" s="12" t="s">
        <v>51</v>
      </c>
      <c r="J18" s="3"/>
      <c r="K18" s="113"/>
      <c r="L18" s="113">
        <v>500</v>
      </c>
      <c r="M18" s="113"/>
      <c r="N18" s="113"/>
      <c r="O18" s="113"/>
      <c r="P18" s="3"/>
      <c r="Q18" s="8">
        <f t="shared" si="1"/>
        <v>0</v>
      </c>
      <c r="R18" s="8">
        <f t="shared" si="2"/>
        <v>61100</v>
      </c>
      <c r="S18" s="8">
        <f t="shared" si="3"/>
        <v>0</v>
      </c>
      <c r="T18" s="8">
        <f t="shared" si="4"/>
        <v>0</v>
      </c>
      <c r="U18" s="8">
        <f t="shared" si="5"/>
        <v>0</v>
      </c>
    </row>
    <row r="19" spans="1:26" s="100" customFormat="1" ht="12.75" customHeight="1" x14ac:dyDescent="0.2">
      <c r="A19" s="7"/>
      <c r="C19" s="109" t="s">
        <v>78</v>
      </c>
      <c r="D19" s="110" t="s">
        <v>0</v>
      </c>
      <c r="E19" s="110" t="s">
        <v>5</v>
      </c>
      <c r="F19" s="111" t="s">
        <v>2</v>
      </c>
      <c r="G19" s="3"/>
      <c r="H19" s="112">
        <v>122.2</v>
      </c>
      <c r="I19" s="12" t="s">
        <v>51</v>
      </c>
      <c r="J19" s="3"/>
      <c r="K19" s="113"/>
      <c r="L19" s="113">
        <v>1500</v>
      </c>
      <c r="M19" s="113"/>
      <c r="N19" s="113"/>
      <c r="O19" s="113"/>
      <c r="P19" s="3"/>
      <c r="Q19" s="8">
        <f t="shared" si="1"/>
        <v>0</v>
      </c>
      <c r="R19" s="8">
        <f t="shared" si="2"/>
        <v>183300</v>
      </c>
      <c r="S19" s="8">
        <f t="shared" si="3"/>
        <v>0</v>
      </c>
      <c r="T19" s="8">
        <f t="shared" si="4"/>
        <v>0</v>
      </c>
      <c r="U19" s="8">
        <f t="shared" si="5"/>
        <v>0</v>
      </c>
    </row>
    <row r="20" spans="1:26" s="100" customFormat="1" ht="12.75" customHeight="1" x14ac:dyDescent="0.2">
      <c r="A20" s="7"/>
      <c r="C20" s="109" t="s">
        <v>79</v>
      </c>
      <c r="D20" s="110" t="s">
        <v>0</v>
      </c>
      <c r="E20" s="110" t="s">
        <v>5</v>
      </c>
      <c r="F20" s="111" t="s">
        <v>2</v>
      </c>
      <c r="G20" s="3"/>
      <c r="H20" s="112">
        <v>122.2</v>
      </c>
      <c r="I20" s="12" t="s">
        <v>51</v>
      </c>
      <c r="J20" s="3"/>
      <c r="K20" s="113"/>
      <c r="L20" s="113">
        <v>1200</v>
      </c>
      <c r="M20" s="113"/>
      <c r="N20" s="113"/>
      <c r="O20" s="113"/>
      <c r="P20" s="3"/>
      <c r="Q20" s="8">
        <f t="shared" si="1"/>
        <v>0</v>
      </c>
      <c r="R20" s="8">
        <f t="shared" si="2"/>
        <v>146640</v>
      </c>
      <c r="S20" s="8">
        <f t="shared" si="3"/>
        <v>0</v>
      </c>
      <c r="T20" s="8">
        <f t="shared" si="4"/>
        <v>0</v>
      </c>
      <c r="U20" s="8">
        <f t="shared" si="5"/>
        <v>0</v>
      </c>
    </row>
    <row r="21" spans="1:26" s="100" customFormat="1" ht="12.75" customHeight="1" x14ac:dyDescent="0.2">
      <c r="A21" s="7"/>
      <c r="C21" s="109" t="s">
        <v>80</v>
      </c>
      <c r="D21" s="110" t="s">
        <v>0</v>
      </c>
      <c r="E21" s="110" t="s">
        <v>5</v>
      </c>
      <c r="F21" s="111" t="s">
        <v>2</v>
      </c>
      <c r="G21" s="3"/>
      <c r="H21" s="112">
        <v>122.2</v>
      </c>
      <c r="I21" s="12" t="s">
        <v>51</v>
      </c>
      <c r="J21" s="3"/>
      <c r="K21" s="113"/>
      <c r="L21" s="113">
        <v>1200</v>
      </c>
      <c r="M21" s="113"/>
      <c r="N21" s="113"/>
      <c r="O21" s="113"/>
      <c r="P21" s="3"/>
      <c r="Q21" s="8">
        <f t="shared" si="1"/>
        <v>0</v>
      </c>
      <c r="R21" s="8">
        <f t="shared" si="2"/>
        <v>146640</v>
      </c>
      <c r="S21" s="8">
        <f t="shared" si="3"/>
        <v>0</v>
      </c>
      <c r="T21" s="8">
        <f t="shared" si="4"/>
        <v>0</v>
      </c>
      <c r="U21" s="8">
        <f t="shared" si="5"/>
        <v>0</v>
      </c>
    </row>
    <row r="22" spans="1:26" s="100" customFormat="1" ht="12.75" customHeight="1" x14ac:dyDescent="0.2">
      <c r="A22" s="7"/>
      <c r="C22" s="109" t="s">
        <v>81</v>
      </c>
      <c r="D22" s="110" t="s">
        <v>0</v>
      </c>
      <c r="E22" s="110" t="s">
        <v>5</v>
      </c>
      <c r="F22" s="111" t="s">
        <v>2</v>
      </c>
      <c r="G22" s="3"/>
      <c r="H22" s="112">
        <v>122.2</v>
      </c>
      <c r="I22" s="12" t="s">
        <v>51</v>
      </c>
      <c r="J22" s="3"/>
      <c r="K22" s="113"/>
      <c r="L22" s="113">
        <v>300</v>
      </c>
      <c r="M22" s="113"/>
      <c r="N22" s="113"/>
      <c r="O22" s="113"/>
      <c r="P22" s="3"/>
      <c r="Q22" s="8">
        <f t="shared" si="1"/>
        <v>0</v>
      </c>
      <c r="R22" s="8">
        <f t="shared" si="2"/>
        <v>36660</v>
      </c>
      <c r="S22" s="8">
        <f t="shared" si="3"/>
        <v>0</v>
      </c>
      <c r="T22" s="8">
        <f t="shared" si="4"/>
        <v>0</v>
      </c>
      <c r="U22" s="8">
        <f t="shared" si="5"/>
        <v>0</v>
      </c>
    </row>
    <row r="23" spans="1:26" s="100" customFormat="1" ht="12.75" customHeight="1" x14ac:dyDescent="0.2">
      <c r="A23" s="7"/>
      <c r="C23" s="109" t="s">
        <v>82</v>
      </c>
      <c r="D23" s="110" t="s">
        <v>0</v>
      </c>
      <c r="E23" s="110" t="s">
        <v>5</v>
      </c>
      <c r="F23" s="111" t="s">
        <v>2</v>
      </c>
      <c r="G23" s="3"/>
      <c r="H23" s="112">
        <v>122.2</v>
      </c>
      <c r="I23" s="12" t="s">
        <v>51</v>
      </c>
      <c r="J23" s="3"/>
      <c r="K23" s="113"/>
      <c r="L23" s="113">
        <v>300</v>
      </c>
      <c r="M23" s="113"/>
      <c r="N23" s="113"/>
      <c r="O23" s="113"/>
      <c r="P23" s="3"/>
      <c r="Q23" s="8">
        <f t="shared" si="1"/>
        <v>0</v>
      </c>
      <c r="R23" s="8">
        <f t="shared" si="2"/>
        <v>36660</v>
      </c>
      <c r="S23" s="8">
        <f t="shared" si="3"/>
        <v>0</v>
      </c>
      <c r="T23" s="8">
        <f t="shared" si="4"/>
        <v>0</v>
      </c>
      <c r="U23" s="8">
        <f t="shared" si="5"/>
        <v>0</v>
      </c>
    </row>
    <row r="24" spans="1:26" s="100" customFormat="1" ht="12.75" customHeight="1" x14ac:dyDescent="0.2">
      <c r="A24" s="7"/>
      <c r="C24" s="109" t="s">
        <v>83</v>
      </c>
      <c r="D24" s="110" t="s">
        <v>0</v>
      </c>
      <c r="E24" s="110" t="s">
        <v>5</v>
      </c>
      <c r="F24" s="111" t="s">
        <v>2</v>
      </c>
      <c r="G24" s="3"/>
      <c r="H24" s="112">
        <v>122.2</v>
      </c>
      <c r="I24" s="12" t="s">
        <v>51</v>
      </c>
      <c r="J24" s="3"/>
      <c r="K24" s="113"/>
      <c r="L24" s="113"/>
      <c r="M24" s="113">
        <v>600</v>
      </c>
      <c r="N24" s="113"/>
      <c r="O24" s="113"/>
      <c r="P24" s="3"/>
      <c r="Q24" s="8">
        <f t="shared" si="1"/>
        <v>0</v>
      </c>
      <c r="R24" s="8">
        <f t="shared" si="2"/>
        <v>0</v>
      </c>
      <c r="S24" s="8">
        <f t="shared" si="3"/>
        <v>73320</v>
      </c>
      <c r="T24" s="8">
        <f t="shared" si="4"/>
        <v>0</v>
      </c>
      <c r="U24" s="8">
        <f t="shared" si="5"/>
        <v>0</v>
      </c>
    </row>
    <row r="25" spans="1:26" s="100" customFormat="1" ht="12.75" customHeight="1" x14ac:dyDescent="0.2">
      <c r="A25" s="7"/>
      <c r="C25" s="109" t="s">
        <v>84</v>
      </c>
      <c r="D25" s="110" t="s">
        <v>0</v>
      </c>
      <c r="E25" s="110" t="s">
        <v>5</v>
      </c>
      <c r="F25" s="111" t="s">
        <v>2</v>
      </c>
      <c r="G25" s="3"/>
      <c r="H25" s="112">
        <v>122.2</v>
      </c>
      <c r="I25" s="12" t="s">
        <v>51</v>
      </c>
      <c r="J25" s="3"/>
      <c r="K25" s="113"/>
      <c r="L25" s="113"/>
      <c r="M25" s="113">
        <v>600</v>
      </c>
      <c r="N25" s="113"/>
      <c r="O25" s="113"/>
      <c r="P25" s="3"/>
      <c r="Q25" s="8">
        <f t="shared" si="1"/>
        <v>0</v>
      </c>
      <c r="R25" s="8">
        <f t="shared" si="2"/>
        <v>0</v>
      </c>
      <c r="S25" s="8">
        <f t="shared" si="3"/>
        <v>73320</v>
      </c>
      <c r="T25" s="8">
        <f t="shared" si="4"/>
        <v>0</v>
      </c>
      <c r="U25" s="8">
        <f t="shared" si="5"/>
        <v>0</v>
      </c>
    </row>
    <row r="26" spans="1:26" s="100" customFormat="1" ht="12.75" customHeight="1" x14ac:dyDescent="0.2">
      <c r="A26" s="7"/>
      <c r="C26" s="109" t="s">
        <v>85</v>
      </c>
      <c r="D26" s="110" t="s">
        <v>0</v>
      </c>
      <c r="E26" s="110" t="s">
        <v>5</v>
      </c>
      <c r="F26" s="111" t="s">
        <v>2</v>
      </c>
      <c r="G26" s="3"/>
      <c r="H26" s="112">
        <v>122.2</v>
      </c>
      <c r="I26" s="12" t="s">
        <v>51</v>
      </c>
      <c r="J26" s="3"/>
      <c r="K26" s="113"/>
      <c r="L26" s="113"/>
      <c r="M26" s="113">
        <v>800</v>
      </c>
      <c r="N26" s="113"/>
      <c r="O26" s="113"/>
      <c r="P26" s="3"/>
      <c r="Q26" s="8">
        <f t="shared" si="1"/>
        <v>0</v>
      </c>
      <c r="R26" s="8">
        <f t="shared" si="2"/>
        <v>0</v>
      </c>
      <c r="S26" s="8">
        <f t="shared" si="3"/>
        <v>97760</v>
      </c>
      <c r="T26" s="8">
        <f t="shared" si="4"/>
        <v>0</v>
      </c>
      <c r="U26" s="8">
        <f t="shared" si="5"/>
        <v>0</v>
      </c>
    </row>
    <row r="27" spans="1:26" s="100" customFormat="1" ht="12.75" customHeight="1" x14ac:dyDescent="0.2">
      <c r="A27" s="7"/>
      <c r="C27" s="109" t="s">
        <v>86</v>
      </c>
      <c r="D27" s="110" t="s">
        <v>0</v>
      </c>
      <c r="E27" s="110" t="s">
        <v>5</v>
      </c>
      <c r="F27" s="111" t="s">
        <v>2</v>
      </c>
      <c r="G27" s="3"/>
      <c r="H27" s="112">
        <v>122.2</v>
      </c>
      <c r="I27" s="12" t="s">
        <v>51</v>
      </c>
      <c r="J27" s="3"/>
      <c r="K27" s="113"/>
      <c r="L27" s="113"/>
      <c r="M27" s="113">
        <v>1500</v>
      </c>
      <c r="N27" s="113"/>
      <c r="O27" s="113"/>
      <c r="P27" s="3"/>
      <c r="Q27" s="8">
        <f t="shared" si="1"/>
        <v>0</v>
      </c>
      <c r="R27" s="8">
        <f t="shared" si="2"/>
        <v>0</v>
      </c>
      <c r="S27" s="8">
        <f t="shared" si="3"/>
        <v>183300</v>
      </c>
      <c r="T27" s="8">
        <f t="shared" si="4"/>
        <v>0</v>
      </c>
      <c r="U27" s="8">
        <f t="shared" si="5"/>
        <v>0</v>
      </c>
    </row>
    <row r="28" spans="1:26" ht="12.75" customHeight="1" x14ac:dyDescent="0.25">
      <c r="A28" s="7"/>
      <c r="C28" s="109" t="s">
        <v>87</v>
      </c>
      <c r="D28" s="110" t="s">
        <v>0</v>
      </c>
      <c r="E28" s="110" t="s">
        <v>5</v>
      </c>
      <c r="F28" s="111" t="s">
        <v>2</v>
      </c>
      <c r="G28" s="3"/>
      <c r="H28" s="112">
        <v>122.2</v>
      </c>
      <c r="I28" s="12" t="s">
        <v>51</v>
      </c>
      <c r="J28" s="3"/>
      <c r="K28" s="113"/>
      <c r="L28" s="113"/>
      <c r="M28" s="113">
        <v>800</v>
      </c>
      <c r="N28" s="113"/>
      <c r="O28" s="113"/>
      <c r="P28" s="3"/>
      <c r="Q28" s="8">
        <f t="shared" si="1"/>
        <v>0</v>
      </c>
      <c r="R28" s="8">
        <f t="shared" si="2"/>
        <v>0</v>
      </c>
      <c r="S28" s="8">
        <f t="shared" si="3"/>
        <v>97760</v>
      </c>
      <c r="T28" s="8">
        <f t="shared" si="4"/>
        <v>0</v>
      </c>
      <c r="U28" s="8">
        <f t="shared" si="5"/>
        <v>0</v>
      </c>
      <c r="Z28"/>
    </row>
    <row r="29" spans="1:26" s="100" customFormat="1" ht="12.75" customHeight="1" x14ac:dyDescent="0.25">
      <c r="A29" s="7"/>
      <c r="C29" s="109" t="s">
        <v>88</v>
      </c>
      <c r="D29" s="110" t="s">
        <v>0</v>
      </c>
      <c r="E29" s="110" t="s">
        <v>5</v>
      </c>
      <c r="F29" s="111" t="s">
        <v>2</v>
      </c>
      <c r="G29" s="3"/>
      <c r="H29" s="112">
        <v>122.2</v>
      </c>
      <c r="I29" s="12" t="s">
        <v>51</v>
      </c>
      <c r="J29" s="3"/>
      <c r="K29" s="113"/>
      <c r="L29" s="113"/>
      <c r="M29" s="113">
        <v>800</v>
      </c>
      <c r="N29" s="113"/>
      <c r="O29" s="113"/>
      <c r="P29" s="3"/>
      <c r="Q29" s="8">
        <f t="shared" si="1"/>
        <v>0</v>
      </c>
      <c r="R29" s="8">
        <f t="shared" si="2"/>
        <v>0</v>
      </c>
      <c r="S29" s="8">
        <f t="shared" si="3"/>
        <v>97760</v>
      </c>
      <c r="T29" s="8">
        <f t="shared" si="4"/>
        <v>0</v>
      </c>
      <c r="U29" s="8">
        <f t="shared" si="5"/>
        <v>0</v>
      </c>
      <c r="Z29"/>
    </row>
    <row r="30" spans="1:26" s="100" customFormat="1" ht="12.75" customHeight="1" x14ac:dyDescent="0.25">
      <c r="A30" s="7"/>
      <c r="C30" s="109" t="s">
        <v>89</v>
      </c>
      <c r="D30" s="110" t="s">
        <v>0</v>
      </c>
      <c r="E30" s="110" t="s">
        <v>5</v>
      </c>
      <c r="F30" s="111" t="s">
        <v>2</v>
      </c>
      <c r="G30" s="3"/>
      <c r="H30" s="112">
        <v>122.2</v>
      </c>
      <c r="I30" s="12" t="s">
        <v>51</v>
      </c>
      <c r="J30" s="3"/>
      <c r="K30" s="113"/>
      <c r="L30" s="113"/>
      <c r="M30" s="113">
        <v>800</v>
      </c>
      <c r="N30" s="113"/>
      <c r="O30" s="113"/>
      <c r="P30" s="3"/>
      <c r="Q30" s="8">
        <f t="shared" si="1"/>
        <v>0</v>
      </c>
      <c r="R30" s="8">
        <f t="shared" si="2"/>
        <v>0</v>
      </c>
      <c r="S30" s="8">
        <f t="shared" si="3"/>
        <v>97760</v>
      </c>
      <c r="T30" s="8">
        <f t="shared" si="4"/>
        <v>0</v>
      </c>
      <c r="U30" s="8">
        <f t="shared" si="5"/>
        <v>0</v>
      </c>
      <c r="Z30"/>
    </row>
    <row r="31" spans="1:26" s="100" customFormat="1" ht="12.75" customHeight="1" x14ac:dyDescent="0.25">
      <c r="A31" s="7"/>
      <c r="C31" s="109" t="s">
        <v>69</v>
      </c>
      <c r="D31" s="110" t="s">
        <v>49</v>
      </c>
      <c r="E31" s="110" t="s">
        <v>5</v>
      </c>
      <c r="F31" s="111" t="s">
        <v>2</v>
      </c>
      <c r="G31" s="3"/>
      <c r="H31" s="112">
        <v>122.2</v>
      </c>
      <c r="I31" s="12" t="s">
        <v>51</v>
      </c>
      <c r="J31" s="3"/>
      <c r="K31" s="133">
        <v>800</v>
      </c>
      <c r="L31" s="133">
        <v>800</v>
      </c>
      <c r="M31" s="133">
        <v>800</v>
      </c>
      <c r="N31" s="133">
        <v>800</v>
      </c>
      <c r="O31" s="133">
        <v>800</v>
      </c>
      <c r="P31" s="3"/>
      <c r="Q31" s="8">
        <f t="shared" si="1"/>
        <v>97760</v>
      </c>
      <c r="R31" s="8">
        <f t="shared" si="2"/>
        <v>97760</v>
      </c>
      <c r="S31" s="8">
        <f t="shared" si="3"/>
        <v>97760</v>
      </c>
      <c r="T31" s="8">
        <f t="shared" si="4"/>
        <v>97760</v>
      </c>
      <c r="U31" s="8">
        <f t="shared" si="5"/>
        <v>97760</v>
      </c>
      <c r="Z31"/>
    </row>
    <row r="32" spans="1:26" s="100" customFormat="1" ht="12.75" customHeight="1" x14ac:dyDescent="0.25">
      <c r="A32" s="7"/>
      <c r="C32" s="109" t="s">
        <v>70</v>
      </c>
      <c r="D32" s="110" t="s">
        <v>49</v>
      </c>
      <c r="E32" s="110" t="s">
        <v>5</v>
      </c>
      <c r="F32" s="111" t="s">
        <v>2</v>
      </c>
      <c r="G32" s="3"/>
      <c r="H32" s="112">
        <v>122.2</v>
      </c>
      <c r="I32" s="12" t="s">
        <v>51</v>
      </c>
      <c r="J32" s="3"/>
      <c r="K32" s="133"/>
      <c r="L32" s="133">
        <v>300</v>
      </c>
      <c r="M32" s="133"/>
      <c r="N32" s="133"/>
      <c r="O32" s="133"/>
      <c r="P32" s="3"/>
      <c r="Q32" s="8">
        <f t="shared" si="1"/>
        <v>0</v>
      </c>
      <c r="R32" s="8">
        <f t="shared" si="2"/>
        <v>36660</v>
      </c>
      <c r="S32" s="8">
        <f t="shared" si="3"/>
        <v>0</v>
      </c>
      <c r="T32" s="8">
        <f t="shared" si="4"/>
        <v>0</v>
      </c>
      <c r="U32" s="8">
        <f t="shared" si="5"/>
        <v>0</v>
      </c>
      <c r="Z32"/>
    </row>
    <row r="33" spans="1:26" s="100" customFormat="1" ht="12.75" customHeight="1" x14ac:dyDescent="0.25">
      <c r="A33" s="7"/>
      <c r="C33" s="109" t="s">
        <v>71</v>
      </c>
      <c r="D33" s="110" t="s">
        <v>49</v>
      </c>
      <c r="E33" s="110" t="s">
        <v>5</v>
      </c>
      <c r="F33" s="111" t="s">
        <v>2</v>
      </c>
      <c r="G33" s="3"/>
      <c r="H33" s="112">
        <v>122.2</v>
      </c>
      <c r="I33" s="12" t="s">
        <v>51</v>
      </c>
      <c r="J33" s="3"/>
      <c r="K33" s="133"/>
      <c r="L33" s="133">
        <v>300</v>
      </c>
      <c r="M33" s="133"/>
      <c r="N33" s="133"/>
      <c r="O33" s="133"/>
      <c r="P33" s="3"/>
      <c r="Q33" s="8">
        <f t="shared" si="1"/>
        <v>0</v>
      </c>
      <c r="R33" s="8">
        <f t="shared" si="2"/>
        <v>36660</v>
      </c>
      <c r="S33" s="8">
        <f t="shared" si="3"/>
        <v>0</v>
      </c>
      <c r="T33" s="8">
        <f t="shared" si="4"/>
        <v>0</v>
      </c>
      <c r="U33" s="8">
        <f t="shared" si="5"/>
        <v>0</v>
      </c>
      <c r="Z33"/>
    </row>
    <row r="34" spans="1:26" s="100" customFormat="1" ht="12.75" customHeight="1" x14ac:dyDescent="0.25">
      <c r="A34" s="7"/>
      <c r="C34" s="109" t="s">
        <v>72</v>
      </c>
      <c r="D34" s="110" t="s">
        <v>49</v>
      </c>
      <c r="E34" s="110" t="s">
        <v>5</v>
      </c>
      <c r="F34" s="111" t="s">
        <v>2</v>
      </c>
      <c r="G34" s="3"/>
      <c r="H34" s="112">
        <v>122.2</v>
      </c>
      <c r="I34" s="12" t="s">
        <v>51</v>
      </c>
      <c r="J34" s="3"/>
      <c r="K34" s="133"/>
      <c r="L34" s="133">
        <v>900</v>
      </c>
      <c r="M34" s="133"/>
      <c r="N34" s="133"/>
      <c r="O34" s="133"/>
      <c r="P34" s="3"/>
      <c r="Q34" s="8">
        <f t="shared" si="1"/>
        <v>0</v>
      </c>
      <c r="R34" s="8">
        <f t="shared" si="2"/>
        <v>109980</v>
      </c>
      <c r="S34" s="8">
        <f t="shared" si="3"/>
        <v>0</v>
      </c>
      <c r="T34" s="8">
        <f t="shared" si="4"/>
        <v>0</v>
      </c>
      <c r="U34" s="8">
        <f t="shared" si="5"/>
        <v>0</v>
      </c>
      <c r="Z34"/>
    </row>
    <row r="35" spans="1:26" s="100" customFormat="1" ht="12.75" customHeight="1" x14ac:dyDescent="0.25">
      <c r="A35" s="7"/>
      <c r="C35" s="109" t="s">
        <v>73</v>
      </c>
      <c r="D35" s="110" t="s">
        <v>49</v>
      </c>
      <c r="E35" s="110" t="s">
        <v>5</v>
      </c>
      <c r="F35" s="111" t="s">
        <v>2</v>
      </c>
      <c r="G35" s="3"/>
      <c r="H35" s="112">
        <v>122.2</v>
      </c>
      <c r="I35" s="12" t="s">
        <v>51</v>
      </c>
      <c r="J35" s="3"/>
      <c r="K35" s="133"/>
      <c r="L35" s="133">
        <v>300</v>
      </c>
      <c r="M35" s="133"/>
      <c r="N35" s="133"/>
      <c r="O35" s="133"/>
      <c r="P35" s="3"/>
      <c r="Q35" s="8">
        <f t="shared" si="1"/>
        <v>0</v>
      </c>
      <c r="R35" s="8">
        <f t="shared" si="2"/>
        <v>36660</v>
      </c>
      <c r="S35" s="8">
        <f t="shared" si="3"/>
        <v>0</v>
      </c>
      <c r="T35" s="8">
        <f t="shared" si="4"/>
        <v>0</v>
      </c>
      <c r="U35" s="8">
        <f t="shared" si="5"/>
        <v>0</v>
      </c>
      <c r="Z35"/>
    </row>
    <row r="36" spans="1:26" s="100" customFormat="1" ht="12.75" customHeight="1" x14ac:dyDescent="0.25">
      <c r="A36" s="7"/>
      <c r="C36" s="109" t="s">
        <v>74</v>
      </c>
      <c r="D36" s="110" t="s">
        <v>49</v>
      </c>
      <c r="E36" s="110" t="s">
        <v>5</v>
      </c>
      <c r="F36" s="111" t="s">
        <v>2</v>
      </c>
      <c r="G36" s="3"/>
      <c r="H36" s="112">
        <v>122.2</v>
      </c>
      <c r="I36" s="12" t="s">
        <v>51</v>
      </c>
      <c r="J36" s="3"/>
      <c r="K36" s="133"/>
      <c r="L36" s="133">
        <v>1400</v>
      </c>
      <c r="M36" s="133"/>
      <c r="N36" s="133"/>
      <c r="O36" s="133"/>
      <c r="P36" s="3"/>
      <c r="Q36" s="8">
        <f t="shared" si="1"/>
        <v>0</v>
      </c>
      <c r="R36" s="8">
        <f t="shared" si="2"/>
        <v>171080</v>
      </c>
      <c r="S36" s="8">
        <f t="shared" si="3"/>
        <v>0</v>
      </c>
      <c r="T36" s="8">
        <f t="shared" si="4"/>
        <v>0</v>
      </c>
      <c r="U36" s="8">
        <f t="shared" si="5"/>
        <v>0</v>
      </c>
      <c r="Z36"/>
    </row>
    <row r="37" spans="1:26" s="100" customFormat="1" ht="12.75" customHeight="1" x14ac:dyDescent="0.25">
      <c r="A37" s="7"/>
      <c r="C37" s="109" t="s">
        <v>75</v>
      </c>
      <c r="D37" s="110" t="s">
        <v>49</v>
      </c>
      <c r="E37" s="110" t="s">
        <v>5</v>
      </c>
      <c r="F37" s="111" t="s">
        <v>2</v>
      </c>
      <c r="G37" s="3"/>
      <c r="H37" s="112">
        <v>122.2</v>
      </c>
      <c r="I37" s="12" t="s">
        <v>51</v>
      </c>
      <c r="J37" s="3"/>
      <c r="K37" s="133"/>
      <c r="L37" s="133">
        <v>300</v>
      </c>
      <c r="M37" s="133"/>
      <c r="N37" s="133"/>
      <c r="O37" s="133"/>
      <c r="P37" s="3"/>
      <c r="Q37" s="8">
        <f t="shared" si="1"/>
        <v>0</v>
      </c>
      <c r="R37" s="8">
        <f t="shared" si="2"/>
        <v>36660</v>
      </c>
      <c r="S37" s="8">
        <f t="shared" si="3"/>
        <v>0</v>
      </c>
      <c r="T37" s="8">
        <f t="shared" si="4"/>
        <v>0</v>
      </c>
      <c r="U37" s="8">
        <f t="shared" si="5"/>
        <v>0</v>
      </c>
      <c r="Z37"/>
    </row>
    <row r="38" spans="1:26" s="100" customFormat="1" ht="12.75" customHeight="1" x14ac:dyDescent="0.25">
      <c r="A38" s="7"/>
      <c r="C38" s="109" t="s">
        <v>76</v>
      </c>
      <c r="D38" s="110" t="s">
        <v>49</v>
      </c>
      <c r="E38" s="110" t="s">
        <v>5</v>
      </c>
      <c r="F38" s="111" t="s">
        <v>2</v>
      </c>
      <c r="G38" s="3"/>
      <c r="H38" s="112">
        <v>122.2</v>
      </c>
      <c r="I38" s="12" t="s">
        <v>51</v>
      </c>
      <c r="J38" s="3"/>
      <c r="K38" s="133"/>
      <c r="L38" s="133">
        <v>300</v>
      </c>
      <c r="M38" s="133"/>
      <c r="N38" s="133"/>
      <c r="O38" s="133"/>
      <c r="P38" s="3"/>
      <c r="Q38" s="8">
        <f t="shared" si="1"/>
        <v>0</v>
      </c>
      <c r="R38" s="8">
        <f t="shared" si="2"/>
        <v>36660</v>
      </c>
      <c r="S38" s="8">
        <f t="shared" si="3"/>
        <v>0</v>
      </c>
      <c r="T38" s="8">
        <f t="shared" si="4"/>
        <v>0</v>
      </c>
      <c r="U38" s="8">
        <f t="shared" si="5"/>
        <v>0</v>
      </c>
      <c r="Z38"/>
    </row>
    <row r="39" spans="1:26" s="100" customFormat="1" ht="12.75" customHeight="1" x14ac:dyDescent="0.25">
      <c r="A39" s="7"/>
      <c r="C39" s="109" t="s">
        <v>90</v>
      </c>
      <c r="D39" s="110" t="s">
        <v>49</v>
      </c>
      <c r="E39" s="110" t="s">
        <v>5</v>
      </c>
      <c r="F39" s="111" t="s">
        <v>2</v>
      </c>
      <c r="G39" s="3"/>
      <c r="H39" s="112">
        <v>122.2</v>
      </c>
      <c r="I39" s="12" t="s">
        <v>51</v>
      </c>
      <c r="J39" s="3"/>
      <c r="K39" s="133"/>
      <c r="L39" s="133">
        <v>900</v>
      </c>
      <c r="M39" s="133"/>
      <c r="N39" s="133"/>
      <c r="O39" s="133"/>
      <c r="P39" s="3"/>
      <c r="Q39" s="8">
        <f t="shared" si="1"/>
        <v>0</v>
      </c>
      <c r="R39" s="8">
        <f t="shared" si="2"/>
        <v>109980</v>
      </c>
      <c r="S39" s="8">
        <f t="shared" si="3"/>
        <v>0</v>
      </c>
      <c r="T39" s="8">
        <f t="shared" si="4"/>
        <v>0</v>
      </c>
      <c r="U39" s="8">
        <f t="shared" si="5"/>
        <v>0</v>
      </c>
      <c r="Z39"/>
    </row>
    <row r="40" spans="1:26" s="100" customFormat="1" ht="12.75" customHeight="1" x14ac:dyDescent="0.25">
      <c r="A40" s="7"/>
      <c r="C40" s="109" t="s">
        <v>77</v>
      </c>
      <c r="D40" s="110" t="s">
        <v>49</v>
      </c>
      <c r="E40" s="110" t="s">
        <v>5</v>
      </c>
      <c r="F40" s="111" t="s">
        <v>2</v>
      </c>
      <c r="G40" s="3"/>
      <c r="H40" s="112">
        <v>122.2</v>
      </c>
      <c r="I40" s="12" t="s">
        <v>51</v>
      </c>
      <c r="J40" s="3"/>
      <c r="K40" s="133"/>
      <c r="L40" s="133">
        <v>350</v>
      </c>
      <c r="M40" s="133"/>
      <c r="N40" s="133"/>
      <c r="O40" s="133"/>
      <c r="P40" s="3"/>
      <c r="Q40" s="8">
        <f t="shared" si="1"/>
        <v>0</v>
      </c>
      <c r="R40" s="8">
        <f t="shared" si="2"/>
        <v>42770</v>
      </c>
      <c r="S40" s="8">
        <f t="shared" si="3"/>
        <v>0</v>
      </c>
      <c r="T40" s="8">
        <f t="shared" si="4"/>
        <v>0</v>
      </c>
      <c r="U40" s="8">
        <f t="shared" si="5"/>
        <v>0</v>
      </c>
      <c r="Z40"/>
    </row>
    <row r="41" spans="1:26" s="100" customFormat="1" ht="12.75" customHeight="1" x14ac:dyDescent="0.25">
      <c r="A41" s="7"/>
      <c r="C41" s="109" t="s">
        <v>78</v>
      </c>
      <c r="D41" s="110" t="s">
        <v>49</v>
      </c>
      <c r="E41" s="110" t="s">
        <v>5</v>
      </c>
      <c r="F41" s="111" t="s">
        <v>2</v>
      </c>
      <c r="G41" s="3"/>
      <c r="H41" s="112">
        <v>122.2</v>
      </c>
      <c r="I41" s="12" t="s">
        <v>51</v>
      </c>
      <c r="J41" s="3"/>
      <c r="K41" s="133"/>
      <c r="L41" s="133">
        <v>900</v>
      </c>
      <c r="M41" s="133"/>
      <c r="N41" s="133"/>
      <c r="O41" s="133"/>
      <c r="P41" s="3"/>
      <c r="Q41" s="8">
        <f t="shared" si="1"/>
        <v>0</v>
      </c>
      <c r="R41" s="8">
        <f t="shared" si="2"/>
        <v>109980</v>
      </c>
      <c r="S41" s="8">
        <f t="shared" si="3"/>
        <v>0</v>
      </c>
      <c r="T41" s="8">
        <f t="shared" si="4"/>
        <v>0</v>
      </c>
      <c r="U41" s="8">
        <f t="shared" si="5"/>
        <v>0</v>
      </c>
      <c r="Z41"/>
    </row>
    <row r="42" spans="1:26" s="100" customFormat="1" ht="12.75" customHeight="1" x14ac:dyDescent="0.25">
      <c r="A42" s="7"/>
      <c r="C42" s="109" t="s">
        <v>79</v>
      </c>
      <c r="D42" s="110" t="s">
        <v>49</v>
      </c>
      <c r="E42" s="110" t="s">
        <v>5</v>
      </c>
      <c r="F42" s="111" t="s">
        <v>2</v>
      </c>
      <c r="G42" s="3"/>
      <c r="H42" s="112">
        <v>122.2</v>
      </c>
      <c r="I42" s="12" t="s">
        <v>51</v>
      </c>
      <c r="J42" s="3"/>
      <c r="K42" s="133"/>
      <c r="L42" s="133">
        <v>800</v>
      </c>
      <c r="M42" s="133"/>
      <c r="N42" s="133"/>
      <c r="O42" s="133"/>
      <c r="P42" s="3"/>
      <c r="Q42" s="8">
        <f t="shared" si="1"/>
        <v>0</v>
      </c>
      <c r="R42" s="8">
        <f t="shared" si="2"/>
        <v>97760</v>
      </c>
      <c r="S42" s="8">
        <f t="shared" si="3"/>
        <v>0</v>
      </c>
      <c r="T42" s="8">
        <f t="shared" si="4"/>
        <v>0</v>
      </c>
      <c r="U42" s="8">
        <f t="shared" si="5"/>
        <v>0</v>
      </c>
      <c r="Z42"/>
    </row>
    <row r="43" spans="1:26" s="100" customFormat="1" ht="12.75" customHeight="1" x14ac:dyDescent="0.25">
      <c r="A43" s="7"/>
      <c r="C43" s="109" t="s">
        <v>80</v>
      </c>
      <c r="D43" s="110" t="s">
        <v>49</v>
      </c>
      <c r="E43" s="110" t="s">
        <v>5</v>
      </c>
      <c r="F43" s="111" t="s">
        <v>2</v>
      </c>
      <c r="G43" s="3"/>
      <c r="H43" s="112">
        <v>122.2</v>
      </c>
      <c r="I43" s="12" t="s">
        <v>51</v>
      </c>
      <c r="J43" s="3"/>
      <c r="K43" s="133"/>
      <c r="L43" s="133">
        <v>800</v>
      </c>
      <c r="M43" s="133"/>
      <c r="N43" s="133"/>
      <c r="O43" s="133"/>
      <c r="P43" s="3"/>
      <c r="Q43" s="8">
        <f t="shared" si="1"/>
        <v>0</v>
      </c>
      <c r="R43" s="8">
        <f t="shared" si="2"/>
        <v>97760</v>
      </c>
      <c r="S43" s="8">
        <f t="shared" si="3"/>
        <v>0</v>
      </c>
      <c r="T43" s="8">
        <f t="shared" si="4"/>
        <v>0</v>
      </c>
      <c r="U43" s="8">
        <f t="shared" si="5"/>
        <v>0</v>
      </c>
      <c r="Z43"/>
    </row>
    <row r="44" spans="1:26" s="100" customFormat="1" ht="12.75" customHeight="1" x14ac:dyDescent="0.25">
      <c r="A44" s="7"/>
      <c r="C44" s="109" t="s">
        <v>81</v>
      </c>
      <c r="D44" s="110" t="s">
        <v>49</v>
      </c>
      <c r="E44" s="110" t="s">
        <v>5</v>
      </c>
      <c r="F44" s="111" t="s">
        <v>2</v>
      </c>
      <c r="G44" s="3"/>
      <c r="H44" s="112">
        <v>122.2</v>
      </c>
      <c r="I44" s="12" t="s">
        <v>51</v>
      </c>
      <c r="J44" s="3"/>
      <c r="K44" s="133"/>
      <c r="L44" s="133">
        <v>200</v>
      </c>
      <c r="M44" s="133"/>
      <c r="N44" s="133"/>
      <c r="O44" s="133"/>
      <c r="P44" s="3"/>
      <c r="Q44" s="8">
        <f t="shared" si="1"/>
        <v>0</v>
      </c>
      <c r="R44" s="8">
        <f t="shared" si="2"/>
        <v>24440</v>
      </c>
      <c r="S44" s="8">
        <f t="shared" si="3"/>
        <v>0</v>
      </c>
      <c r="T44" s="8">
        <f t="shared" si="4"/>
        <v>0</v>
      </c>
      <c r="U44" s="8">
        <f t="shared" si="5"/>
        <v>0</v>
      </c>
      <c r="Z44"/>
    </row>
    <row r="45" spans="1:26" s="100" customFormat="1" ht="12.75" customHeight="1" x14ac:dyDescent="0.25">
      <c r="A45" s="7"/>
      <c r="C45" s="109" t="s">
        <v>82</v>
      </c>
      <c r="D45" s="110" t="s">
        <v>49</v>
      </c>
      <c r="E45" s="110" t="s">
        <v>5</v>
      </c>
      <c r="F45" s="111" t="s">
        <v>2</v>
      </c>
      <c r="G45" s="3"/>
      <c r="H45" s="112">
        <v>122.2</v>
      </c>
      <c r="I45" s="12" t="s">
        <v>51</v>
      </c>
      <c r="J45" s="3"/>
      <c r="K45" s="133"/>
      <c r="L45" s="133">
        <v>200</v>
      </c>
      <c r="M45" s="133"/>
      <c r="N45" s="133"/>
      <c r="O45" s="133"/>
      <c r="P45" s="3"/>
      <c r="Q45" s="8">
        <f t="shared" si="1"/>
        <v>0</v>
      </c>
      <c r="R45" s="8">
        <f t="shared" si="2"/>
        <v>24440</v>
      </c>
      <c r="S45" s="8">
        <f t="shared" si="3"/>
        <v>0</v>
      </c>
      <c r="T45" s="8">
        <f t="shared" si="4"/>
        <v>0</v>
      </c>
      <c r="U45" s="8">
        <f t="shared" si="5"/>
        <v>0</v>
      </c>
      <c r="Z45"/>
    </row>
    <row r="46" spans="1:26" s="100" customFormat="1" ht="12.75" customHeight="1" x14ac:dyDescent="0.25">
      <c r="A46" s="7"/>
      <c r="C46" s="109" t="s">
        <v>91</v>
      </c>
      <c r="D46" s="110" t="s">
        <v>49</v>
      </c>
      <c r="E46" s="110" t="s">
        <v>5</v>
      </c>
      <c r="F46" s="111" t="s">
        <v>2</v>
      </c>
      <c r="G46" s="3"/>
      <c r="H46" s="112">
        <v>122.2</v>
      </c>
      <c r="I46" s="12" t="s">
        <v>51</v>
      </c>
      <c r="J46" s="3"/>
      <c r="K46" s="133"/>
      <c r="L46" s="133">
        <v>250</v>
      </c>
      <c r="M46" s="133"/>
      <c r="N46" s="133"/>
      <c r="O46" s="133"/>
      <c r="P46" s="3"/>
      <c r="Q46" s="8">
        <f t="shared" si="1"/>
        <v>0</v>
      </c>
      <c r="R46" s="8">
        <f t="shared" si="2"/>
        <v>30550</v>
      </c>
      <c r="S46" s="8">
        <f t="shared" si="3"/>
        <v>0</v>
      </c>
      <c r="T46" s="8">
        <f t="shared" si="4"/>
        <v>0</v>
      </c>
      <c r="U46" s="8">
        <f t="shared" si="5"/>
        <v>0</v>
      </c>
      <c r="Z46"/>
    </row>
    <row r="47" spans="1:26" s="100" customFormat="1" ht="12.75" customHeight="1" x14ac:dyDescent="0.25">
      <c r="A47" s="7"/>
      <c r="C47" s="109" t="s">
        <v>83</v>
      </c>
      <c r="D47" s="110" t="s">
        <v>49</v>
      </c>
      <c r="E47" s="110" t="s">
        <v>5</v>
      </c>
      <c r="F47" s="111" t="s">
        <v>2</v>
      </c>
      <c r="G47" s="3"/>
      <c r="H47" s="112">
        <v>122.2</v>
      </c>
      <c r="I47" s="12" t="s">
        <v>51</v>
      </c>
      <c r="J47" s="3"/>
      <c r="K47" s="133"/>
      <c r="L47" s="133"/>
      <c r="M47" s="133">
        <v>200</v>
      </c>
      <c r="N47" s="133"/>
      <c r="O47" s="133"/>
      <c r="P47" s="3"/>
      <c r="Q47" s="8">
        <f t="shared" si="1"/>
        <v>0</v>
      </c>
      <c r="R47" s="8">
        <f t="shared" si="2"/>
        <v>0</v>
      </c>
      <c r="S47" s="8">
        <f t="shared" si="3"/>
        <v>24440</v>
      </c>
      <c r="T47" s="8">
        <f t="shared" si="4"/>
        <v>0</v>
      </c>
      <c r="U47" s="8">
        <f t="shared" si="5"/>
        <v>0</v>
      </c>
      <c r="Z47"/>
    </row>
    <row r="48" spans="1:26" s="100" customFormat="1" ht="12.75" customHeight="1" x14ac:dyDescent="0.25">
      <c r="A48" s="7"/>
      <c r="C48" s="109" t="s">
        <v>84</v>
      </c>
      <c r="D48" s="110" t="s">
        <v>49</v>
      </c>
      <c r="E48" s="110" t="s">
        <v>5</v>
      </c>
      <c r="F48" s="111" t="s">
        <v>2</v>
      </c>
      <c r="G48" s="3"/>
      <c r="H48" s="112">
        <v>122.2</v>
      </c>
      <c r="I48" s="12" t="s">
        <v>51</v>
      </c>
      <c r="J48" s="3"/>
      <c r="K48" s="133"/>
      <c r="L48" s="133"/>
      <c r="M48" s="133">
        <v>225</v>
      </c>
      <c r="N48" s="133"/>
      <c r="O48" s="133"/>
      <c r="P48" s="3"/>
      <c r="Q48" s="8">
        <f t="shared" si="1"/>
        <v>0</v>
      </c>
      <c r="R48" s="8">
        <f t="shared" si="2"/>
        <v>0</v>
      </c>
      <c r="S48" s="8">
        <f t="shared" si="3"/>
        <v>27495</v>
      </c>
      <c r="T48" s="8">
        <f t="shared" si="4"/>
        <v>0</v>
      </c>
      <c r="U48" s="8">
        <f t="shared" si="5"/>
        <v>0</v>
      </c>
      <c r="Z48"/>
    </row>
    <row r="49" spans="1:26" s="100" customFormat="1" ht="12.75" customHeight="1" x14ac:dyDescent="0.25">
      <c r="A49" s="7"/>
      <c r="C49" s="109" t="s">
        <v>85</v>
      </c>
      <c r="D49" s="110" t="s">
        <v>49</v>
      </c>
      <c r="E49" s="110" t="s">
        <v>5</v>
      </c>
      <c r="F49" s="111" t="s">
        <v>2</v>
      </c>
      <c r="G49" s="3"/>
      <c r="H49" s="112">
        <v>122.2</v>
      </c>
      <c r="I49" s="12" t="s">
        <v>51</v>
      </c>
      <c r="J49" s="3"/>
      <c r="K49" s="133"/>
      <c r="L49" s="133"/>
      <c r="M49" s="133">
        <v>450</v>
      </c>
      <c r="N49" s="133"/>
      <c r="O49" s="133"/>
      <c r="P49" s="3"/>
      <c r="Q49" s="8">
        <f t="shared" si="1"/>
        <v>0</v>
      </c>
      <c r="R49" s="8">
        <f t="shared" si="2"/>
        <v>0</v>
      </c>
      <c r="S49" s="8">
        <f t="shared" si="3"/>
        <v>54990</v>
      </c>
      <c r="T49" s="8">
        <f t="shared" si="4"/>
        <v>0</v>
      </c>
      <c r="U49" s="8">
        <f t="shared" si="5"/>
        <v>0</v>
      </c>
      <c r="Z49"/>
    </row>
    <row r="50" spans="1:26" s="100" customFormat="1" ht="12.75" customHeight="1" x14ac:dyDescent="0.25">
      <c r="A50" s="7"/>
      <c r="C50" s="109" t="s">
        <v>86</v>
      </c>
      <c r="D50" s="110" t="s">
        <v>49</v>
      </c>
      <c r="E50" s="110" t="s">
        <v>5</v>
      </c>
      <c r="F50" s="111" t="s">
        <v>2</v>
      </c>
      <c r="G50" s="3"/>
      <c r="H50" s="112">
        <v>122.2</v>
      </c>
      <c r="I50" s="12" t="s">
        <v>51</v>
      </c>
      <c r="J50" s="3"/>
      <c r="K50" s="133"/>
      <c r="L50" s="133"/>
      <c r="M50" s="133">
        <v>675</v>
      </c>
      <c r="N50" s="133"/>
      <c r="O50" s="133"/>
      <c r="P50" s="3"/>
      <c r="Q50" s="8">
        <f t="shared" si="1"/>
        <v>0</v>
      </c>
      <c r="R50" s="8">
        <f t="shared" si="2"/>
        <v>0</v>
      </c>
      <c r="S50" s="8">
        <f t="shared" si="3"/>
        <v>82485</v>
      </c>
      <c r="T50" s="8">
        <f t="shared" si="4"/>
        <v>0</v>
      </c>
      <c r="U50" s="8">
        <f t="shared" si="5"/>
        <v>0</v>
      </c>
      <c r="Z50"/>
    </row>
    <row r="51" spans="1:26" s="100" customFormat="1" ht="12.75" customHeight="1" x14ac:dyDescent="0.25">
      <c r="A51" s="7"/>
      <c r="C51" s="109" t="s">
        <v>87</v>
      </c>
      <c r="D51" s="110" t="s">
        <v>49</v>
      </c>
      <c r="E51" s="110" t="s">
        <v>5</v>
      </c>
      <c r="F51" s="111" t="s">
        <v>2</v>
      </c>
      <c r="G51" s="3"/>
      <c r="H51" s="112">
        <v>122.2</v>
      </c>
      <c r="I51" s="12" t="s">
        <v>51</v>
      </c>
      <c r="J51" s="3"/>
      <c r="K51" s="133"/>
      <c r="L51" s="133"/>
      <c r="M51" s="133">
        <v>200</v>
      </c>
      <c r="N51" s="133"/>
      <c r="O51" s="133"/>
      <c r="P51" s="3"/>
      <c r="Q51" s="8">
        <f t="shared" si="1"/>
        <v>0</v>
      </c>
      <c r="R51" s="8">
        <f t="shared" si="2"/>
        <v>0</v>
      </c>
      <c r="S51" s="8">
        <f t="shared" si="3"/>
        <v>24440</v>
      </c>
      <c r="T51" s="8">
        <f t="shared" si="4"/>
        <v>0</v>
      </c>
      <c r="U51" s="8">
        <f t="shared" si="5"/>
        <v>0</v>
      </c>
      <c r="Z51"/>
    </row>
    <row r="52" spans="1:26" s="100" customFormat="1" ht="12.75" customHeight="1" x14ac:dyDescent="0.25">
      <c r="A52" s="7"/>
      <c r="C52" s="109" t="s">
        <v>88</v>
      </c>
      <c r="D52" s="110" t="s">
        <v>49</v>
      </c>
      <c r="E52" s="110" t="s">
        <v>5</v>
      </c>
      <c r="F52" s="111" t="s">
        <v>2</v>
      </c>
      <c r="G52" s="3"/>
      <c r="H52" s="112">
        <v>122.2</v>
      </c>
      <c r="I52" s="12" t="s">
        <v>51</v>
      </c>
      <c r="J52" s="3"/>
      <c r="K52" s="133"/>
      <c r="L52" s="133"/>
      <c r="M52" s="133">
        <v>450</v>
      </c>
      <c r="N52" s="133"/>
      <c r="O52" s="133"/>
      <c r="P52" s="3"/>
      <c r="Q52" s="8">
        <f t="shared" si="1"/>
        <v>0</v>
      </c>
      <c r="R52" s="8">
        <f t="shared" si="2"/>
        <v>0</v>
      </c>
      <c r="S52" s="8">
        <f t="shared" si="3"/>
        <v>54990</v>
      </c>
      <c r="T52" s="8">
        <f t="shared" si="4"/>
        <v>0</v>
      </c>
      <c r="U52" s="8">
        <f t="shared" si="5"/>
        <v>0</v>
      </c>
      <c r="Z52"/>
    </row>
    <row r="53" spans="1:26" s="100" customFormat="1" ht="12.75" customHeight="1" x14ac:dyDescent="0.25">
      <c r="A53" s="7"/>
      <c r="C53" s="109" t="s">
        <v>89</v>
      </c>
      <c r="D53" s="110" t="s">
        <v>49</v>
      </c>
      <c r="E53" s="110" t="s">
        <v>5</v>
      </c>
      <c r="F53" s="111" t="s">
        <v>2</v>
      </c>
      <c r="G53" s="3"/>
      <c r="H53" s="112">
        <v>122.2</v>
      </c>
      <c r="I53" s="12" t="s">
        <v>51</v>
      </c>
      <c r="J53" s="3"/>
      <c r="K53" s="133"/>
      <c r="L53" s="133"/>
      <c r="M53" s="133">
        <v>200</v>
      </c>
      <c r="N53" s="133"/>
      <c r="O53" s="133"/>
      <c r="P53" s="3"/>
      <c r="Q53" s="8">
        <f t="shared" si="1"/>
        <v>0</v>
      </c>
      <c r="R53" s="8">
        <f t="shared" si="2"/>
        <v>0</v>
      </c>
      <c r="S53" s="8">
        <f t="shared" si="3"/>
        <v>24440</v>
      </c>
      <c r="T53" s="8">
        <f t="shared" si="4"/>
        <v>0</v>
      </c>
      <c r="U53" s="8">
        <f t="shared" si="5"/>
        <v>0</v>
      </c>
      <c r="Z53"/>
    </row>
    <row r="54" spans="1:26" s="100" customFormat="1" ht="12.75" customHeight="1" x14ac:dyDescent="0.25">
      <c r="A54" s="7"/>
      <c r="C54" s="109" t="s">
        <v>92</v>
      </c>
      <c r="D54" s="110" t="s">
        <v>49</v>
      </c>
      <c r="E54" s="110" t="s">
        <v>5</v>
      </c>
      <c r="F54" s="111" t="s">
        <v>2</v>
      </c>
      <c r="G54" s="3"/>
      <c r="H54" s="112">
        <v>122.2</v>
      </c>
      <c r="I54" s="12" t="s">
        <v>51</v>
      </c>
      <c r="J54" s="3"/>
      <c r="K54" s="133"/>
      <c r="L54" s="133"/>
      <c r="M54" s="133">
        <v>300</v>
      </c>
      <c r="N54" s="133"/>
      <c r="O54" s="133"/>
      <c r="P54" s="3"/>
      <c r="Q54" s="8">
        <f t="shared" si="1"/>
        <v>0</v>
      </c>
      <c r="R54" s="8">
        <f t="shared" si="2"/>
        <v>0</v>
      </c>
      <c r="S54" s="8">
        <f t="shared" si="3"/>
        <v>36660</v>
      </c>
      <c r="T54" s="8">
        <f t="shared" si="4"/>
        <v>0</v>
      </c>
      <c r="U54" s="8">
        <f t="shared" si="5"/>
        <v>0</v>
      </c>
      <c r="Z54"/>
    </row>
    <row r="55" spans="1:26" s="100" customFormat="1" ht="12.75" customHeight="1" x14ac:dyDescent="0.25">
      <c r="A55" s="7"/>
      <c r="G55" s="3"/>
      <c r="I55" s="12"/>
      <c r="J55" s="3"/>
      <c r="P55" s="3"/>
      <c r="Z55"/>
    </row>
    <row r="56" spans="1:26" ht="12.75" customHeight="1" x14ac:dyDescent="0.25">
      <c r="A56" s="7"/>
      <c r="B56" s="100"/>
      <c r="C56" s="100"/>
      <c r="E56" s="100"/>
      <c r="F56" s="100"/>
      <c r="G56" s="3"/>
      <c r="H56" s="100"/>
      <c r="J56" s="3"/>
      <c r="K56" s="100"/>
      <c r="L56" s="100"/>
      <c r="M56" s="100"/>
      <c r="N56" s="100"/>
      <c r="O56" s="100"/>
      <c r="P56" s="3"/>
      <c r="Q56" s="100"/>
      <c r="R56" s="100"/>
      <c r="S56" s="100"/>
      <c r="T56" s="100"/>
      <c r="U56" s="100"/>
      <c r="Z56"/>
    </row>
    <row r="57" spans="1:26" ht="12.75" customHeight="1" x14ac:dyDescent="0.25">
      <c r="A57" s="7"/>
      <c r="C57" s="109" t="s">
        <v>93</v>
      </c>
      <c r="D57" s="110" t="s">
        <v>0</v>
      </c>
      <c r="E57" s="110" t="s">
        <v>5</v>
      </c>
      <c r="F57" s="111" t="s">
        <v>1</v>
      </c>
      <c r="G57" s="3"/>
      <c r="H57" s="134">
        <v>1500000</v>
      </c>
      <c r="I57" s="12" t="s">
        <v>52</v>
      </c>
      <c r="J57" s="3"/>
      <c r="K57" s="114"/>
      <c r="L57" s="115">
        <v>1</v>
      </c>
      <c r="M57" s="114"/>
      <c r="N57" s="115"/>
      <c r="O57" s="114"/>
      <c r="P57" s="3"/>
      <c r="Q57" s="8">
        <f t="shared" ref="Q57:U64" si="6">K57*$H57</f>
        <v>0</v>
      </c>
      <c r="R57" s="8">
        <f t="shared" si="6"/>
        <v>1500000</v>
      </c>
      <c r="S57" s="8">
        <f t="shared" si="6"/>
        <v>0</v>
      </c>
      <c r="T57" s="8">
        <f t="shared" si="6"/>
        <v>0</v>
      </c>
      <c r="U57" s="8">
        <f t="shared" si="6"/>
        <v>0</v>
      </c>
      <c r="Z57"/>
    </row>
    <row r="58" spans="1:26" s="100" customFormat="1" ht="12.75" customHeight="1" x14ac:dyDescent="0.25">
      <c r="A58" s="7"/>
      <c r="C58" s="109" t="s">
        <v>94</v>
      </c>
      <c r="D58" s="110" t="s">
        <v>0</v>
      </c>
      <c r="E58" s="110" t="s">
        <v>5</v>
      </c>
      <c r="F58" s="111" t="s">
        <v>1</v>
      </c>
      <c r="G58" s="3"/>
      <c r="H58" s="134">
        <v>250000</v>
      </c>
      <c r="I58" s="12" t="s">
        <v>52</v>
      </c>
      <c r="J58" s="3"/>
      <c r="K58" s="114"/>
      <c r="L58" s="115">
        <v>1</v>
      </c>
      <c r="M58" s="114"/>
      <c r="N58" s="115"/>
      <c r="O58" s="114"/>
      <c r="P58" s="3"/>
      <c r="Q58" s="8">
        <f t="shared" si="6"/>
        <v>0</v>
      </c>
      <c r="R58" s="8">
        <f t="shared" si="6"/>
        <v>250000</v>
      </c>
      <c r="S58" s="8">
        <f t="shared" si="6"/>
        <v>0</v>
      </c>
      <c r="T58" s="8">
        <f t="shared" si="6"/>
        <v>0</v>
      </c>
      <c r="U58" s="8">
        <f t="shared" si="6"/>
        <v>0</v>
      </c>
      <c r="Z58"/>
    </row>
    <row r="59" spans="1:26" s="100" customFormat="1" ht="12.75" customHeight="1" x14ac:dyDescent="0.25">
      <c r="A59" s="7"/>
      <c r="C59" s="109" t="s">
        <v>95</v>
      </c>
      <c r="D59" s="110" t="s">
        <v>0</v>
      </c>
      <c r="E59" s="110" t="s">
        <v>5</v>
      </c>
      <c r="F59" s="111" t="s">
        <v>1</v>
      </c>
      <c r="G59" s="3"/>
      <c r="H59" s="134">
        <v>150000</v>
      </c>
      <c r="I59" s="12" t="s">
        <v>52</v>
      </c>
      <c r="J59" s="3"/>
      <c r="K59" s="114"/>
      <c r="L59" s="115">
        <v>1</v>
      </c>
      <c r="M59" s="114"/>
      <c r="N59" s="115"/>
      <c r="O59" s="114"/>
      <c r="P59" s="3"/>
      <c r="Q59" s="8">
        <f t="shared" si="6"/>
        <v>0</v>
      </c>
      <c r="R59" s="8">
        <f t="shared" si="6"/>
        <v>150000</v>
      </c>
      <c r="S59" s="8">
        <f t="shared" si="6"/>
        <v>0</v>
      </c>
      <c r="T59" s="8">
        <f t="shared" si="6"/>
        <v>0</v>
      </c>
      <c r="U59" s="8">
        <f t="shared" si="6"/>
        <v>0</v>
      </c>
      <c r="Z59"/>
    </row>
    <row r="60" spans="1:26" s="100" customFormat="1" ht="12.75" customHeight="1" x14ac:dyDescent="0.25">
      <c r="A60" s="7"/>
      <c r="C60" s="109" t="s">
        <v>96</v>
      </c>
      <c r="D60" s="110" t="s">
        <v>0</v>
      </c>
      <c r="E60" s="110" t="s">
        <v>5</v>
      </c>
      <c r="F60" s="111" t="s">
        <v>1</v>
      </c>
      <c r="G60" s="3"/>
      <c r="H60" s="134">
        <v>50000</v>
      </c>
      <c r="I60" s="12" t="s">
        <v>52</v>
      </c>
      <c r="J60" s="3"/>
      <c r="K60" s="114"/>
      <c r="L60" s="115">
        <v>1</v>
      </c>
      <c r="M60" s="114"/>
      <c r="N60" s="115"/>
      <c r="O60" s="114"/>
      <c r="P60" s="3"/>
      <c r="Q60" s="8">
        <f t="shared" si="6"/>
        <v>0</v>
      </c>
      <c r="R60" s="8">
        <f t="shared" si="6"/>
        <v>50000</v>
      </c>
      <c r="S60" s="8">
        <f t="shared" si="6"/>
        <v>0</v>
      </c>
      <c r="T60" s="8">
        <f t="shared" si="6"/>
        <v>0</v>
      </c>
      <c r="U60" s="8">
        <f t="shared" si="6"/>
        <v>0</v>
      </c>
      <c r="Z60"/>
    </row>
    <row r="61" spans="1:26" s="100" customFormat="1" ht="12.75" customHeight="1" x14ac:dyDescent="0.25">
      <c r="A61" s="7"/>
      <c r="C61" s="109" t="s">
        <v>93</v>
      </c>
      <c r="D61" s="110" t="s">
        <v>49</v>
      </c>
      <c r="E61" s="110" t="s">
        <v>5</v>
      </c>
      <c r="F61" s="111" t="s">
        <v>1</v>
      </c>
      <c r="G61" s="3"/>
      <c r="H61" s="134">
        <v>700000</v>
      </c>
      <c r="I61" s="12" t="s">
        <v>52</v>
      </c>
      <c r="J61" s="3"/>
      <c r="K61" s="114"/>
      <c r="L61" s="115">
        <v>1</v>
      </c>
      <c r="M61" s="114"/>
      <c r="N61" s="115"/>
      <c r="O61" s="114"/>
      <c r="P61" s="3"/>
      <c r="Q61" s="8">
        <f t="shared" ref="Q61:Q62" si="7">K61*$H61</f>
        <v>0</v>
      </c>
      <c r="R61" s="8">
        <f t="shared" ref="R61:R62" si="8">L61*$H61</f>
        <v>700000</v>
      </c>
      <c r="S61" s="8">
        <f t="shared" ref="S61:S62" si="9">M61*$H61</f>
        <v>0</v>
      </c>
      <c r="T61" s="8">
        <f t="shared" ref="T61:T62" si="10">N61*$H61</f>
        <v>0</v>
      </c>
      <c r="U61" s="8">
        <f t="shared" ref="U61:U62" si="11">O61*$H61</f>
        <v>0</v>
      </c>
      <c r="Z61"/>
    </row>
    <row r="62" spans="1:26" s="100" customFormat="1" ht="12.75" customHeight="1" x14ac:dyDescent="0.25">
      <c r="A62" s="7"/>
      <c r="C62" s="109" t="s">
        <v>94</v>
      </c>
      <c r="D62" s="110" t="s">
        <v>49</v>
      </c>
      <c r="E62" s="110" t="s">
        <v>5</v>
      </c>
      <c r="F62" s="111" t="s">
        <v>1</v>
      </c>
      <c r="G62" s="3"/>
      <c r="H62" s="134">
        <v>150000</v>
      </c>
      <c r="I62" s="12" t="s">
        <v>52</v>
      </c>
      <c r="J62" s="3"/>
      <c r="K62" s="114"/>
      <c r="L62" s="115">
        <v>1</v>
      </c>
      <c r="M62" s="114"/>
      <c r="N62" s="115"/>
      <c r="O62" s="114"/>
      <c r="P62" s="3"/>
      <c r="Q62" s="8">
        <f t="shared" si="7"/>
        <v>0</v>
      </c>
      <c r="R62" s="8">
        <f t="shared" si="8"/>
        <v>150000</v>
      </c>
      <c r="S62" s="8">
        <f t="shared" si="9"/>
        <v>0</v>
      </c>
      <c r="T62" s="8">
        <f t="shared" si="10"/>
        <v>0</v>
      </c>
      <c r="U62" s="8">
        <f t="shared" si="11"/>
        <v>0</v>
      </c>
      <c r="Z62"/>
    </row>
    <row r="63" spans="1:26" s="100" customFormat="1" ht="12.75" customHeight="1" x14ac:dyDescent="0.25">
      <c r="A63" s="7"/>
      <c r="C63" s="109" t="s">
        <v>95</v>
      </c>
      <c r="D63" s="110" t="s">
        <v>49</v>
      </c>
      <c r="E63" s="110" t="s">
        <v>5</v>
      </c>
      <c r="F63" s="111" t="s">
        <v>1</v>
      </c>
      <c r="G63" s="3"/>
      <c r="H63" s="134">
        <v>150000</v>
      </c>
      <c r="I63" s="12" t="s">
        <v>52</v>
      </c>
      <c r="J63" s="3"/>
      <c r="K63" s="114"/>
      <c r="L63" s="115">
        <v>1</v>
      </c>
      <c r="M63" s="114"/>
      <c r="N63" s="115"/>
      <c r="O63" s="114"/>
      <c r="P63" s="3"/>
      <c r="Q63" s="8">
        <f t="shared" si="6"/>
        <v>0</v>
      </c>
      <c r="R63" s="8">
        <f t="shared" si="6"/>
        <v>150000</v>
      </c>
      <c r="S63" s="8">
        <f t="shared" si="6"/>
        <v>0</v>
      </c>
      <c r="T63" s="8">
        <f t="shared" si="6"/>
        <v>0</v>
      </c>
      <c r="U63" s="8">
        <f t="shared" si="6"/>
        <v>0</v>
      </c>
      <c r="Z63"/>
    </row>
    <row r="64" spans="1:26" ht="12.75" customHeight="1" x14ac:dyDescent="0.25">
      <c r="A64" s="7"/>
      <c r="C64" s="109" t="s">
        <v>96</v>
      </c>
      <c r="D64" s="110" t="s">
        <v>49</v>
      </c>
      <c r="E64" s="110" t="s">
        <v>5</v>
      </c>
      <c r="F64" s="111" t="s">
        <v>1</v>
      </c>
      <c r="G64" s="3"/>
      <c r="H64" s="134">
        <v>75000</v>
      </c>
      <c r="I64" s="12" t="s">
        <v>52</v>
      </c>
      <c r="J64" s="3"/>
      <c r="K64" s="114"/>
      <c r="L64" s="115">
        <v>1</v>
      </c>
      <c r="M64" s="114"/>
      <c r="N64" s="115"/>
      <c r="O64" s="114"/>
      <c r="P64" s="3"/>
      <c r="Q64" s="8">
        <f t="shared" si="6"/>
        <v>0</v>
      </c>
      <c r="R64" s="8">
        <f t="shared" si="6"/>
        <v>75000</v>
      </c>
      <c r="S64" s="8">
        <f t="shared" si="6"/>
        <v>0</v>
      </c>
      <c r="T64" s="8">
        <f t="shared" si="6"/>
        <v>0</v>
      </c>
      <c r="U64" s="8">
        <f t="shared" si="6"/>
        <v>0</v>
      </c>
      <c r="Z64"/>
    </row>
    <row r="65" spans="1:26" ht="12.7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Z65"/>
    </row>
    <row r="66" spans="1:26" ht="12.7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Z66"/>
    </row>
    <row r="67" spans="1:26" s="100" customFormat="1" ht="12.75" customHeight="1" x14ac:dyDescent="0.2">
      <c r="A67" s="7"/>
      <c r="C67" s="109"/>
      <c r="D67" s="110"/>
      <c r="E67" s="110"/>
      <c r="F67" s="111"/>
      <c r="H67" s="6"/>
      <c r="I67" s="13" t="s">
        <v>42</v>
      </c>
      <c r="K67" s="113"/>
      <c r="L67" s="113"/>
      <c r="M67" s="113"/>
      <c r="N67" s="113"/>
      <c r="O67" s="113"/>
      <c r="Q67" s="8">
        <f t="shared" ref="Q67:U77" si="12">K67</f>
        <v>0</v>
      </c>
      <c r="R67" s="8">
        <f t="shared" si="12"/>
        <v>0</v>
      </c>
      <c r="S67" s="8">
        <f t="shared" si="12"/>
        <v>0</v>
      </c>
      <c r="T67" s="8">
        <f t="shared" si="12"/>
        <v>0</v>
      </c>
      <c r="U67" s="8">
        <f t="shared" si="12"/>
        <v>0</v>
      </c>
    </row>
    <row r="68" spans="1:26" s="100" customFormat="1" ht="12.75" customHeight="1" x14ac:dyDescent="0.2">
      <c r="A68" s="7"/>
      <c r="C68" s="109"/>
      <c r="D68" s="110"/>
      <c r="E68" s="110"/>
      <c r="F68" s="111"/>
      <c r="H68" s="6"/>
      <c r="I68" s="13" t="s">
        <v>42</v>
      </c>
      <c r="K68" s="113"/>
      <c r="L68" s="113"/>
      <c r="M68" s="113"/>
      <c r="N68" s="113"/>
      <c r="O68" s="113"/>
      <c r="Q68" s="8">
        <f t="shared" si="12"/>
        <v>0</v>
      </c>
      <c r="R68" s="8">
        <f t="shared" si="12"/>
        <v>0</v>
      </c>
      <c r="S68" s="8">
        <f t="shared" si="12"/>
        <v>0</v>
      </c>
      <c r="T68" s="8">
        <f t="shared" si="12"/>
        <v>0</v>
      </c>
      <c r="U68" s="8">
        <f t="shared" si="12"/>
        <v>0</v>
      </c>
    </row>
    <row r="69" spans="1:26" s="100" customFormat="1" ht="12.75" customHeight="1" x14ac:dyDescent="0.2">
      <c r="A69" s="7"/>
      <c r="C69" s="109"/>
      <c r="D69" s="110"/>
      <c r="E69" s="110"/>
      <c r="F69" s="111"/>
      <c r="H69" s="6"/>
      <c r="I69" s="13" t="s">
        <v>42</v>
      </c>
      <c r="K69" s="113"/>
      <c r="L69" s="113"/>
      <c r="M69" s="113"/>
      <c r="N69" s="113"/>
      <c r="O69" s="113"/>
      <c r="Q69" s="8">
        <f t="shared" si="12"/>
        <v>0</v>
      </c>
      <c r="R69" s="8">
        <f t="shared" si="12"/>
        <v>0</v>
      </c>
      <c r="S69" s="8">
        <f t="shared" si="12"/>
        <v>0</v>
      </c>
      <c r="T69" s="8">
        <f t="shared" si="12"/>
        <v>0</v>
      </c>
      <c r="U69" s="8">
        <f t="shared" si="12"/>
        <v>0</v>
      </c>
    </row>
    <row r="70" spans="1:26" s="100" customFormat="1" ht="12.75" customHeight="1" x14ac:dyDescent="0.2">
      <c r="A70" s="7"/>
      <c r="C70" s="109"/>
      <c r="D70" s="110"/>
      <c r="E70" s="110"/>
      <c r="F70" s="111"/>
      <c r="H70" s="6"/>
      <c r="I70" s="13" t="s">
        <v>42</v>
      </c>
      <c r="K70" s="113"/>
      <c r="L70" s="113"/>
      <c r="M70" s="113"/>
      <c r="N70" s="113"/>
      <c r="O70" s="113"/>
      <c r="Q70" s="8">
        <f t="shared" si="12"/>
        <v>0</v>
      </c>
      <c r="R70" s="8">
        <f t="shared" si="12"/>
        <v>0</v>
      </c>
      <c r="S70" s="8">
        <f t="shared" si="12"/>
        <v>0</v>
      </c>
      <c r="T70" s="8">
        <f t="shared" si="12"/>
        <v>0</v>
      </c>
      <c r="U70" s="8">
        <f t="shared" si="12"/>
        <v>0</v>
      </c>
    </row>
    <row r="71" spans="1:26" s="100" customFormat="1" ht="12.75" customHeight="1" x14ac:dyDescent="0.2">
      <c r="A71" s="7"/>
      <c r="C71" s="109"/>
      <c r="D71" s="110"/>
      <c r="E71" s="110"/>
      <c r="F71" s="111"/>
      <c r="H71" s="6"/>
      <c r="I71" s="13" t="s">
        <v>42</v>
      </c>
      <c r="K71" s="113"/>
      <c r="L71" s="113"/>
      <c r="M71" s="113"/>
      <c r="N71" s="113"/>
      <c r="O71" s="113"/>
      <c r="Q71" s="8">
        <f t="shared" si="12"/>
        <v>0</v>
      </c>
      <c r="R71" s="8">
        <f t="shared" si="12"/>
        <v>0</v>
      </c>
      <c r="S71" s="8">
        <f t="shared" si="12"/>
        <v>0</v>
      </c>
      <c r="T71" s="8">
        <f t="shared" si="12"/>
        <v>0</v>
      </c>
      <c r="U71" s="8">
        <f t="shared" si="12"/>
        <v>0</v>
      </c>
    </row>
    <row r="72" spans="1:26" s="100" customFormat="1" ht="12.75" customHeight="1" x14ac:dyDescent="0.2">
      <c r="A72" s="7"/>
      <c r="C72" s="109"/>
      <c r="D72" s="110"/>
      <c r="E72" s="110"/>
      <c r="F72" s="111"/>
      <c r="H72" s="6"/>
      <c r="I72" s="13" t="s">
        <v>42</v>
      </c>
      <c r="K72" s="113"/>
      <c r="L72" s="113"/>
      <c r="M72" s="113"/>
      <c r="N72" s="113"/>
      <c r="O72" s="113"/>
      <c r="Q72" s="8">
        <f t="shared" si="12"/>
        <v>0</v>
      </c>
      <c r="R72" s="8">
        <f t="shared" si="12"/>
        <v>0</v>
      </c>
      <c r="S72" s="8">
        <f t="shared" si="12"/>
        <v>0</v>
      </c>
      <c r="T72" s="8">
        <f t="shared" si="12"/>
        <v>0</v>
      </c>
      <c r="U72" s="8">
        <f t="shared" si="12"/>
        <v>0</v>
      </c>
    </row>
    <row r="73" spans="1:26" s="100" customFormat="1" ht="12.75" customHeight="1" x14ac:dyDescent="0.2">
      <c r="A73" s="7"/>
      <c r="C73" s="109"/>
      <c r="D73" s="110"/>
      <c r="E73" s="110"/>
      <c r="F73" s="111"/>
      <c r="H73" s="6"/>
      <c r="I73" s="13" t="s">
        <v>42</v>
      </c>
      <c r="K73" s="113"/>
      <c r="L73" s="113"/>
      <c r="M73" s="113"/>
      <c r="N73" s="113"/>
      <c r="O73" s="113"/>
      <c r="Q73" s="8">
        <f t="shared" si="12"/>
        <v>0</v>
      </c>
      <c r="R73" s="8">
        <f t="shared" si="12"/>
        <v>0</v>
      </c>
      <c r="S73" s="8">
        <f t="shared" si="12"/>
        <v>0</v>
      </c>
      <c r="T73" s="8">
        <f t="shared" si="12"/>
        <v>0</v>
      </c>
      <c r="U73" s="8">
        <f t="shared" si="12"/>
        <v>0</v>
      </c>
    </row>
    <row r="74" spans="1:26" s="100" customFormat="1" ht="12.75" customHeight="1" x14ac:dyDescent="0.2">
      <c r="A74" s="7"/>
      <c r="C74" s="109"/>
      <c r="D74" s="110"/>
      <c r="E74" s="110"/>
      <c r="F74" s="111"/>
      <c r="H74" s="6"/>
      <c r="I74" s="13" t="s">
        <v>42</v>
      </c>
      <c r="K74" s="113"/>
      <c r="L74" s="113"/>
      <c r="M74" s="113"/>
      <c r="N74" s="113"/>
      <c r="O74" s="113"/>
      <c r="Q74" s="8">
        <f t="shared" si="12"/>
        <v>0</v>
      </c>
      <c r="R74" s="8">
        <f t="shared" si="12"/>
        <v>0</v>
      </c>
      <c r="S74" s="8">
        <f t="shared" si="12"/>
        <v>0</v>
      </c>
      <c r="T74" s="8">
        <f t="shared" si="12"/>
        <v>0</v>
      </c>
      <c r="U74" s="8">
        <f t="shared" si="12"/>
        <v>0</v>
      </c>
    </row>
    <row r="75" spans="1:26" s="100" customFormat="1" ht="12.75" customHeight="1" x14ac:dyDescent="0.2">
      <c r="A75" s="7"/>
      <c r="C75" s="109"/>
      <c r="D75" s="110"/>
      <c r="E75" s="110"/>
      <c r="F75" s="111"/>
      <c r="H75" s="6"/>
      <c r="I75" s="13" t="s">
        <v>42</v>
      </c>
      <c r="K75" s="113"/>
      <c r="L75" s="113"/>
      <c r="M75" s="113"/>
      <c r="N75" s="113"/>
      <c r="O75" s="113"/>
      <c r="Q75" s="8">
        <f t="shared" si="12"/>
        <v>0</v>
      </c>
      <c r="R75" s="8">
        <f t="shared" si="12"/>
        <v>0</v>
      </c>
      <c r="S75" s="8">
        <f t="shared" si="12"/>
        <v>0</v>
      </c>
      <c r="T75" s="8">
        <f t="shared" si="12"/>
        <v>0</v>
      </c>
      <c r="U75" s="8">
        <f t="shared" si="12"/>
        <v>0</v>
      </c>
    </row>
    <row r="76" spans="1:26" s="100" customFormat="1" ht="12.75" customHeight="1" x14ac:dyDescent="0.2">
      <c r="A76" s="7"/>
      <c r="C76" s="109"/>
      <c r="D76" s="110"/>
      <c r="E76" s="110"/>
      <c r="F76" s="111"/>
      <c r="H76" s="6"/>
      <c r="I76" s="13" t="s">
        <v>42</v>
      </c>
      <c r="K76" s="113"/>
      <c r="L76" s="113"/>
      <c r="M76" s="113"/>
      <c r="N76" s="113"/>
      <c r="O76" s="113"/>
      <c r="Q76" s="8">
        <f t="shared" si="12"/>
        <v>0</v>
      </c>
      <c r="R76" s="8">
        <f t="shared" si="12"/>
        <v>0</v>
      </c>
      <c r="S76" s="8">
        <f t="shared" si="12"/>
        <v>0</v>
      </c>
      <c r="T76" s="8">
        <f t="shared" si="12"/>
        <v>0</v>
      </c>
      <c r="U76" s="8">
        <f t="shared" si="12"/>
        <v>0</v>
      </c>
    </row>
    <row r="77" spans="1:26" ht="12.75" customHeight="1" x14ac:dyDescent="0.2">
      <c r="A77" s="7"/>
      <c r="C77" s="109"/>
      <c r="D77" s="110"/>
      <c r="E77" s="110"/>
      <c r="F77" s="111"/>
      <c r="G77" s="100"/>
      <c r="H77" s="6"/>
      <c r="I77" s="13" t="s">
        <v>42</v>
      </c>
      <c r="J77" s="100"/>
      <c r="K77" s="113"/>
      <c r="L77" s="113"/>
      <c r="M77" s="113"/>
      <c r="N77" s="113"/>
      <c r="O77" s="113"/>
      <c r="P77" s="100"/>
      <c r="Q77" s="8">
        <f t="shared" si="12"/>
        <v>0</v>
      </c>
      <c r="R77" s="8">
        <f t="shared" si="12"/>
        <v>0</v>
      </c>
      <c r="S77" s="8">
        <f t="shared" si="12"/>
        <v>0</v>
      </c>
      <c r="T77" s="8">
        <f t="shared" si="12"/>
        <v>0</v>
      </c>
      <c r="U77" s="8">
        <f t="shared" si="12"/>
        <v>0</v>
      </c>
    </row>
    <row r="78" spans="1:26" ht="12.75" customHeight="1" x14ac:dyDescent="0.25">
      <c r="G78" s="100"/>
      <c r="H78" s="6"/>
      <c r="I78" s="13"/>
      <c r="J78" s="100"/>
      <c r="P78" s="100"/>
      <c r="Z78"/>
    </row>
    <row r="79" spans="1:26" ht="12.75" customHeight="1" x14ac:dyDescent="0.25">
      <c r="G79" s="100"/>
      <c r="I79" s="13"/>
      <c r="J79" s="100"/>
      <c r="P79" s="100"/>
      <c r="Z79"/>
    </row>
    <row r="80" spans="1:26" ht="12.75" customHeight="1" x14ac:dyDescent="0.25">
      <c r="C80" s="5" t="s">
        <v>13</v>
      </c>
      <c r="D80" s="7"/>
      <c r="G80" s="100"/>
      <c r="I80" s="100"/>
      <c r="J80" s="100"/>
      <c r="P80" s="100"/>
      <c r="Z80"/>
    </row>
    <row r="81" spans="3:26" ht="12.75" customHeight="1" x14ac:dyDescent="0.2">
      <c r="C81" s="28" t="s">
        <v>2</v>
      </c>
      <c r="D81" s="28"/>
      <c r="E81" s="28" t="s">
        <v>5</v>
      </c>
      <c r="F81" s="28"/>
      <c r="G81" s="100"/>
      <c r="H81" s="28"/>
      <c r="I81" s="13"/>
      <c r="J81" s="100"/>
      <c r="K81" s="28"/>
      <c r="L81" s="28"/>
      <c r="M81" s="28"/>
      <c r="N81" s="28"/>
      <c r="O81" s="28"/>
      <c r="P81" s="100"/>
      <c r="Q81" s="30">
        <f t="shared" ref="Q81:U86" si="13">SUMIFS(Q$10:Q$77,$F$10:$F$77,$C81,$E$10:$E$77,$E81)</f>
        <v>281060</v>
      </c>
      <c r="R81" s="30">
        <f t="shared" si="13"/>
        <v>2663960</v>
      </c>
      <c r="S81" s="30">
        <f t="shared" si="13"/>
        <v>1331980</v>
      </c>
      <c r="T81" s="30">
        <f t="shared" si="13"/>
        <v>281060</v>
      </c>
      <c r="U81" s="30">
        <f t="shared" si="13"/>
        <v>281060</v>
      </c>
    </row>
    <row r="82" spans="3:26" ht="12.75" customHeight="1" x14ac:dyDescent="0.2">
      <c r="C82" s="4" t="s">
        <v>1</v>
      </c>
      <c r="D82" s="4"/>
      <c r="E82" s="4" t="s">
        <v>5</v>
      </c>
      <c r="F82" s="4"/>
      <c r="G82" s="100"/>
      <c r="H82" s="4"/>
      <c r="I82" s="13"/>
      <c r="J82" s="100"/>
      <c r="K82" s="4"/>
      <c r="L82" s="4"/>
      <c r="M82" s="4"/>
      <c r="N82" s="4"/>
      <c r="O82" s="4"/>
      <c r="P82" s="100"/>
      <c r="Q82" s="9">
        <f t="shared" si="13"/>
        <v>0</v>
      </c>
      <c r="R82" s="9">
        <f t="shared" si="13"/>
        <v>3025000</v>
      </c>
      <c r="S82" s="9">
        <f t="shared" si="13"/>
        <v>0</v>
      </c>
      <c r="T82" s="9">
        <f t="shared" si="13"/>
        <v>0</v>
      </c>
      <c r="U82" s="9">
        <f t="shared" si="13"/>
        <v>0</v>
      </c>
    </row>
    <row r="83" spans="3:26" ht="12.75" customHeight="1" x14ac:dyDescent="0.2">
      <c r="C83" s="4" t="s">
        <v>4</v>
      </c>
      <c r="D83" s="4"/>
      <c r="E83" s="4" t="s">
        <v>5</v>
      </c>
      <c r="F83" s="4"/>
      <c r="G83" s="100"/>
      <c r="H83" s="4"/>
      <c r="I83" s="13"/>
      <c r="J83" s="100"/>
      <c r="K83" s="4"/>
      <c r="L83" s="4"/>
      <c r="M83" s="4"/>
      <c r="N83" s="4"/>
      <c r="O83" s="4"/>
      <c r="P83" s="100"/>
      <c r="Q83" s="9">
        <f t="shared" si="13"/>
        <v>0</v>
      </c>
      <c r="R83" s="9">
        <f t="shared" si="13"/>
        <v>0</v>
      </c>
      <c r="S83" s="9">
        <f t="shared" si="13"/>
        <v>0</v>
      </c>
      <c r="T83" s="9">
        <f t="shared" si="13"/>
        <v>0</v>
      </c>
      <c r="U83" s="9">
        <f t="shared" si="13"/>
        <v>0</v>
      </c>
    </row>
    <row r="84" spans="3:26" ht="12.75" customHeight="1" x14ac:dyDescent="0.2">
      <c r="C84" s="4" t="s">
        <v>2</v>
      </c>
      <c r="D84" s="4"/>
      <c r="E84" s="4" t="s">
        <v>41</v>
      </c>
      <c r="F84" s="4"/>
      <c r="G84" s="100"/>
      <c r="H84" s="4"/>
      <c r="I84" s="13"/>
      <c r="J84" s="100"/>
      <c r="K84" s="4"/>
      <c r="L84" s="4"/>
      <c r="M84" s="4"/>
      <c r="N84" s="4"/>
      <c r="O84" s="4"/>
      <c r="P84" s="100"/>
      <c r="Q84" s="9">
        <f t="shared" si="13"/>
        <v>0</v>
      </c>
      <c r="R84" s="9">
        <f t="shared" si="13"/>
        <v>0</v>
      </c>
      <c r="S84" s="9">
        <f t="shared" si="13"/>
        <v>0</v>
      </c>
      <c r="T84" s="9">
        <f t="shared" si="13"/>
        <v>0</v>
      </c>
      <c r="U84" s="9">
        <f t="shared" si="13"/>
        <v>0</v>
      </c>
    </row>
    <row r="85" spans="3:26" ht="12.75" customHeight="1" x14ac:dyDescent="0.2">
      <c r="C85" s="4" t="s">
        <v>1</v>
      </c>
      <c r="D85" s="4"/>
      <c r="E85" s="4" t="s">
        <v>41</v>
      </c>
      <c r="F85" s="4"/>
      <c r="G85" s="100"/>
      <c r="H85" s="4"/>
      <c r="I85" s="13"/>
      <c r="J85" s="100"/>
      <c r="K85" s="4"/>
      <c r="L85" s="4"/>
      <c r="M85" s="4"/>
      <c r="N85" s="4"/>
      <c r="O85" s="4"/>
      <c r="P85" s="100"/>
      <c r="Q85" s="9">
        <f t="shared" si="13"/>
        <v>0</v>
      </c>
      <c r="R85" s="9">
        <f t="shared" si="13"/>
        <v>0</v>
      </c>
      <c r="S85" s="9">
        <f t="shared" si="13"/>
        <v>0</v>
      </c>
      <c r="T85" s="9">
        <f t="shared" si="13"/>
        <v>0</v>
      </c>
      <c r="U85" s="9">
        <f t="shared" si="13"/>
        <v>0</v>
      </c>
    </row>
    <row r="86" spans="3:26" ht="12.75" customHeight="1" x14ac:dyDescent="0.2">
      <c r="C86" s="4" t="s">
        <v>4</v>
      </c>
      <c r="D86" s="4"/>
      <c r="E86" s="4" t="s">
        <v>41</v>
      </c>
      <c r="F86" s="7"/>
      <c r="G86" s="100"/>
      <c r="H86" s="7"/>
      <c r="I86" s="31"/>
      <c r="J86" s="100"/>
      <c r="K86" s="7"/>
      <c r="L86" s="7"/>
      <c r="M86" s="7"/>
      <c r="N86" s="7"/>
      <c r="O86" s="7"/>
      <c r="P86" s="100"/>
      <c r="Q86" s="9">
        <f t="shared" si="13"/>
        <v>0</v>
      </c>
      <c r="R86" s="9">
        <f t="shared" si="13"/>
        <v>0</v>
      </c>
      <c r="S86" s="9">
        <f t="shared" si="13"/>
        <v>0</v>
      </c>
      <c r="T86" s="9">
        <f t="shared" si="13"/>
        <v>0</v>
      </c>
      <c r="U86" s="9">
        <f t="shared" si="13"/>
        <v>0</v>
      </c>
    </row>
    <row r="87" spans="3:26" ht="12.75" customHeight="1" x14ac:dyDescent="0.2">
      <c r="C87" s="10" t="str">
        <f>"Total Expenditure ($ "&amp;Assumptions!$B$8&amp;")"</f>
        <v>Total Expenditure ($ 2018)</v>
      </c>
      <c r="D87" s="10"/>
      <c r="E87" s="10"/>
      <c r="F87" s="10"/>
      <c r="G87" s="100"/>
      <c r="H87" s="10"/>
      <c r="I87" s="14"/>
      <c r="J87" s="100"/>
      <c r="K87" s="10"/>
      <c r="L87" s="10"/>
      <c r="M87" s="10"/>
      <c r="N87" s="10"/>
      <c r="O87" s="10"/>
      <c r="P87" s="100"/>
      <c r="Q87" s="11">
        <f>SUM(Q81:Q86)</f>
        <v>281060</v>
      </c>
      <c r="R87" s="11">
        <f t="shared" ref="R87:U87" si="14">SUM(R81:R86)</f>
        <v>5688960</v>
      </c>
      <c r="S87" s="11">
        <f t="shared" si="14"/>
        <v>1331980</v>
      </c>
      <c r="T87" s="11">
        <f t="shared" si="14"/>
        <v>281060</v>
      </c>
      <c r="U87" s="11">
        <f t="shared" si="14"/>
        <v>281060</v>
      </c>
      <c r="V87" s="44"/>
      <c r="W87" s="100"/>
      <c r="X87" s="100"/>
      <c r="Y87" s="100"/>
    </row>
    <row r="88" spans="3:26" ht="12.75" customHeight="1" x14ac:dyDescent="0.2">
      <c r="C88" s="28" t="str">
        <f>"Total Expenditure ($ "&amp;Assumptions!B17&amp;")"</f>
        <v>Total Expenditure ($ 2020/21)</v>
      </c>
      <c r="D88" s="28"/>
      <c r="E88" s="28"/>
      <c r="F88" s="28"/>
      <c r="G88" s="100"/>
      <c r="H88" s="28"/>
      <c r="I88" s="29"/>
      <c r="J88" s="100"/>
      <c r="K88" s="28"/>
      <c r="L88" s="28"/>
      <c r="M88" s="28"/>
      <c r="N88" s="28"/>
      <c r="O88" s="28"/>
      <c r="P88" s="100"/>
      <c r="Q88" s="45">
        <f>Q87*Assumptions!$B$18</f>
        <v>297654.68489882158</v>
      </c>
      <c r="R88" s="45">
        <f>R87*Assumptions!$B$18</f>
        <v>6024854.465957447</v>
      </c>
      <c r="S88" s="45">
        <f>S87*Assumptions!$B$18</f>
        <v>1410624.3762596326</v>
      </c>
      <c r="T88" s="45">
        <f>T87*Assumptions!$B$18</f>
        <v>297654.68489882158</v>
      </c>
      <c r="U88" s="45">
        <f>U87*Assumptions!$B$18</f>
        <v>297654.68489882158</v>
      </c>
      <c r="V88" s="44"/>
      <c r="W88" s="100"/>
      <c r="X88" s="100"/>
      <c r="Y88" s="100"/>
    </row>
    <row r="89" spans="3:26" x14ac:dyDescent="0.2">
      <c r="C89" s="101" t="s">
        <v>12</v>
      </c>
      <c r="D89" s="101"/>
      <c r="E89" s="101"/>
      <c r="F89" s="101"/>
      <c r="G89" s="100"/>
      <c r="H89" s="101"/>
      <c r="I89" s="101"/>
      <c r="J89" s="100"/>
      <c r="K89" s="101"/>
      <c r="L89" s="101"/>
      <c r="M89" s="101"/>
      <c r="N89" s="101"/>
      <c r="O89" s="101"/>
      <c r="P89" s="100"/>
      <c r="Q89" s="102">
        <f>Q87-SUM(Q10:Q77)</f>
        <v>0</v>
      </c>
      <c r="R89" s="102">
        <f>R87-SUM(R10:R77)</f>
        <v>0</v>
      </c>
      <c r="S89" s="102">
        <f>S87-SUM(S10:S77)</f>
        <v>0</v>
      </c>
      <c r="T89" s="102">
        <f>T87-SUM(T10:T77)</f>
        <v>0</v>
      </c>
      <c r="U89" s="102">
        <f>U87-SUM(U10:U77)</f>
        <v>0</v>
      </c>
      <c r="V89" s="100"/>
      <c r="W89" s="102">
        <f>SUM(Q89:U89)</f>
        <v>0</v>
      </c>
      <c r="X89" s="100"/>
      <c r="Y89" s="100"/>
    </row>
    <row r="90" spans="3:26" ht="12.75" customHeight="1" x14ac:dyDescent="0.2">
      <c r="C90" s="100"/>
      <c r="E90" s="100"/>
      <c r="F90" s="100"/>
      <c r="G90" s="100"/>
      <c r="H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</row>
    <row r="91" spans="3:26" ht="12.75" customHeight="1" x14ac:dyDescent="0.2">
      <c r="C91" s="7"/>
      <c r="D91" s="7"/>
      <c r="E91" s="103"/>
      <c r="F91" s="40"/>
      <c r="G91" s="100"/>
      <c r="H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</row>
    <row r="92" spans="3:26" ht="12.75" customHeight="1" x14ac:dyDescent="0.2">
      <c r="G92" s="100"/>
      <c r="J92" s="100"/>
      <c r="P92" s="100"/>
    </row>
    <row r="93" spans="3:26" s="100" customFormat="1" ht="12.75" customHeight="1" x14ac:dyDescent="0.25">
      <c r="C93" s="5" t="s">
        <v>100</v>
      </c>
      <c r="D93" s="7"/>
      <c r="G93" s="3"/>
      <c r="I93" s="12"/>
      <c r="J93" s="3"/>
      <c r="P93" s="3"/>
      <c r="Z93"/>
    </row>
    <row r="94" spans="3:26" s="100" customFormat="1" ht="12.75" customHeight="1" x14ac:dyDescent="0.2">
      <c r="C94" s="28" t="s">
        <v>2</v>
      </c>
      <c r="D94" s="28" t="s">
        <v>0</v>
      </c>
      <c r="E94" s="28" t="s">
        <v>5</v>
      </c>
      <c r="F94" s="139" t="str">
        <f>C94&amp;D94</f>
        <v>LabourVPN</v>
      </c>
      <c r="G94" s="3"/>
      <c r="H94" s="28"/>
      <c r="I94" s="29"/>
      <c r="J94" s="3"/>
      <c r="K94" s="28"/>
      <c r="L94" s="28"/>
      <c r="M94" s="28"/>
      <c r="N94" s="28"/>
      <c r="O94" s="28"/>
      <c r="P94" s="3"/>
      <c r="Q94" s="45">
        <f t="shared" ref="Q94:U99" si="15">SUMIFS(Q$10:Q$77,$F$10:$F$77,$C94,$E$10:$E$77,$E94,$D$10:$D$77,$D94)*Conv_2021</f>
        <v>194122.62058618799</v>
      </c>
      <c r="R94" s="45">
        <f t="shared" si="15"/>
        <v>1656513.0290021375</v>
      </c>
      <c r="S94" s="45">
        <f t="shared" si="15"/>
        <v>957671.59489186073</v>
      </c>
      <c r="T94" s="45">
        <f t="shared" si="15"/>
        <v>194122.62058618799</v>
      </c>
      <c r="U94" s="45">
        <f t="shared" si="15"/>
        <v>194122.62058618799</v>
      </c>
    </row>
    <row r="95" spans="3:26" s="100" customFormat="1" ht="12.75" customHeight="1" x14ac:dyDescent="0.2">
      <c r="C95" s="4" t="s">
        <v>1</v>
      </c>
      <c r="D95" s="4" t="s">
        <v>0</v>
      </c>
      <c r="E95" s="4" t="s">
        <v>5</v>
      </c>
      <c r="F95" s="140" t="str">
        <f t="shared" ref="F95:F99" si="16">C95&amp;D95</f>
        <v>MaterialsVPN</v>
      </c>
      <c r="G95" s="3"/>
      <c r="H95" s="4"/>
      <c r="I95" s="13"/>
      <c r="J95" s="3"/>
      <c r="K95" s="4"/>
      <c r="L95" s="4"/>
      <c r="M95" s="4"/>
      <c r="N95" s="4"/>
      <c r="O95" s="4"/>
      <c r="P95" s="3"/>
      <c r="Q95" s="9">
        <f t="shared" si="15"/>
        <v>0</v>
      </c>
      <c r="R95" s="9">
        <f t="shared" si="15"/>
        <v>2065134.2615551914</v>
      </c>
      <c r="S95" s="9">
        <f t="shared" si="15"/>
        <v>0</v>
      </c>
      <c r="T95" s="9">
        <f t="shared" si="15"/>
        <v>0</v>
      </c>
      <c r="U95" s="9">
        <f t="shared" si="15"/>
        <v>0</v>
      </c>
    </row>
    <row r="96" spans="3:26" s="100" customFormat="1" ht="12.75" customHeight="1" x14ac:dyDescent="0.2">
      <c r="C96" s="4" t="s">
        <v>4</v>
      </c>
      <c r="D96" s="4" t="s">
        <v>0</v>
      </c>
      <c r="E96" s="4" t="s">
        <v>5</v>
      </c>
      <c r="F96" s="140" t="str">
        <f t="shared" si="16"/>
        <v>ContractsVPN</v>
      </c>
      <c r="G96" s="3"/>
      <c r="H96" s="4"/>
      <c r="I96" s="13"/>
      <c r="J96" s="3"/>
      <c r="K96" s="4"/>
      <c r="L96" s="4"/>
      <c r="M96" s="4"/>
      <c r="N96" s="4"/>
      <c r="O96" s="4"/>
      <c r="P96" s="3"/>
      <c r="Q96" s="9">
        <f t="shared" si="15"/>
        <v>0</v>
      </c>
      <c r="R96" s="9">
        <f t="shared" si="15"/>
        <v>0</v>
      </c>
      <c r="S96" s="9">
        <f t="shared" si="15"/>
        <v>0</v>
      </c>
      <c r="T96" s="9">
        <f t="shared" si="15"/>
        <v>0</v>
      </c>
      <c r="U96" s="9">
        <f t="shared" si="15"/>
        <v>0</v>
      </c>
    </row>
    <row r="97" spans="3:23" s="100" customFormat="1" ht="12.75" customHeight="1" x14ac:dyDescent="0.2">
      <c r="C97" s="4" t="s">
        <v>2</v>
      </c>
      <c r="D97" s="4" t="s">
        <v>49</v>
      </c>
      <c r="E97" s="4" t="s">
        <v>5</v>
      </c>
      <c r="F97" s="140" t="str">
        <f t="shared" si="16"/>
        <v>LabourUE</v>
      </c>
      <c r="G97" s="3"/>
      <c r="H97" s="4"/>
      <c r="I97" s="13"/>
      <c r="J97" s="3"/>
      <c r="K97" s="4"/>
      <c r="L97" s="4"/>
      <c r="M97" s="4"/>
      <c r="N97" s="4"/>
      <c r="O97" s="4"/>
      <c r="P97" s="3"/>
      <c r="Q97" s="9">
        <f t="shared" si="15"/>
        <v>103532.06431263359</v>
      </c>
      <c r="R97" s="9">
        <f t="shared" si="15"/>
        <v>1164735.7235171278</v>
      </c>
      <c r="S97" s="9">
        <f t="shared" si="15"/>
        <v>452952.78136777197</v>
      </c>
      <c r="T97" s="9">
        <f t="shared" si="15"/>
        <v>103532.06431263359</v>
      </c>
      <c r="U97" s="9">
        <f t="shared" si="15"/>
        <v>103532.06431263359</v>
      </c>
    </row>
    <row r="98" spans="3:23" s="100" customFormat="1" ht="12.75" customHeight="1" x14ac:dyDescent="0.2">
      <c r="C98" s="4" t="s">
        <v>1</v>
      </c>
      <c r="D98" s="4" t="s">
        <v>49</v>
      </c>
      <c r="E98" s="4" t="s">
        <v>5</v>
      </c>
      <c r="F98" s="140" t="str">
        <f t="shared" si="16"/>
        <v>MaterialsUE</v>
      </c>
      <c r="G98" s="3"/>
      <c r="H98" s="4"/>
      <c r="I98" s="13"/>
      <c r="J98" s="3"/>
      <c r="K98" s="4"/>
      <c r="L98" s="4"/>
      <c r="M98" s="4"/>
      <c r="N98" s="4"/>
      <c r="O98" s="4"/>
      <c r="P98" s="3"/>
      <c r="Q98" s="9">
        <f t="shared" si="15"/>
        <v>0</v>
      </c>
      <c r="R98" s="9">
        <f t="shared" si="15"/>
        <v>1138471.4518829901</v>
      </c>
      <c r="S98" s="9">
        <f t="shared" si="15"/>
        <v>0</v>
      </c>
      <c r="T98" s="9">
        <f t="shared" si="15"/>
        <v>0</v>
      </c>
      <c r="U98" s="9">
        <f t="shared" si="15"/>
        <v>0</v>
      </c>
    </row>
    <row r="99" spans="3:23" s="100" customFormat="1" ht="12.75" customHeight="1" x14ac:dyDescent="0.2">
      <c r="C99" s="4" t="s">
        <v>4</v>
      </c>
      <c r="D99" s="4" t="s">
        <v>49</v>
      </c>
      <c r="E99" s="4" t="s">
        <v>5</v>
      </c>
      <c r="F99" s="140" t="str">
        <f t="shared" si="16"/>
        <v>ContractsUE</v>
      </c>
      <c r="G99" s="3"/>
      <c r="H99" s="7"/>
      <c r="I99" s="31"/>
      <c r="J99" s="3"/>
      <c r="K99" s="7"/>
      <c r="L99" s="7"/>
      <c r="M99" s="7"/>
      <c r="N99" s="7"/>
      <c r="O99" s="7"/>
      <c r="P99" s="3"/>
      <c r="Q99" s="9">
        <f t="shared" si="15"/>
        <v>0</v>
      </c>
      <c r="R99" s="9">
        <f t="shared" si="15"/>
        <v>0</v>
      </c>
      <c r="S99" s="9">
        <f t="shared" si="15"/>
        <v>0</v>
      </c>
      <c r="T99" s="9">
        <f t="shared" si="15"/>
        <v>0</v>
      </c>
      <c r="U99" s="9">
        <f t="shared" si="15"/>
        <v>0</v>
      </c>
    </row>
    <row r="100" spans="3:23" s="100" customFormat="1" ht="12.75" customHeight="1" x14ac:dyDescent="0.2">
      <c r="C100" s="10" t="s">
        <v>101</v>
      </c>
      <c r="D100" s="10"/>
      <c r="E100" s="10"/>
      <c r="F100" s="10"/>
      <c r="G100" s="3"/>
      <c r="H100" s="10"/>
      <c r="I100" s="14"/>
      <c r="J100" s="3"/>
      <c r="K100" s="10"/>
      <c r="L100" s="10"/>
      <c r="M100" s="10"/>
      <c r="N100" s="10"/>
      <c r="O100" s="10"/>
      <c r="P100" s="3"/>
      <c r="Q100" s="11">
        <f>SUM(Q94:Q99)</f>
        <v>297654.68489882158</v>
      </c>
      <c r="R100" s="11">
        <f t="shared" ref="R100:U100" si="17">SUM(R94:R99)</f>
        <v>6024854.465957446</v>
      </c>
      <c r="S100" s="11">
        <f t="shared" si="17"/>
        <v>1410624.3762596326</v>
      </c>
      <c r="T100" s="11">
        <f t="shared" si="17"/>
        <v>297654.68489882158</v>
      </c>
      <c r="U100" s="11">
        <f t="shared" si="17"/>
        <v>297654.68489882158</v>
      </c>
      <c r="V100" s="44"/>
    </row>
    <row r="101" spans="3:23" s="100" customFormat="1" ht="12.75" customHeight="1" x14ac:dyDescent="0.2">
      <c r="C101" s="28"/>
      <c r="D101" s="28"/>
      <c r="E101" s="28"/>
      <c r="F101" s="28"/>
      <c r="G101" s="3"/>
      <c r="H101" s="28"/>
      <c r="I101" s="29"/>
      <c r="J101" s="3"/>
      <c r="K101" s="28"/>
      <c r="L101" s="28"/>
      <c r="M101" s="28"/>
      <c r="N101" s="28"/>
      <c r="O101" s="28"/>
      <c r="P101" s="3"/>
      <c r="Q101" s="45"/>
      <c r="R101" s="45"/>
      <c r="S101" s="45"/>
      <c r="T101" s="45"/>
      <c r="U101" s="45"/>
      <c r="V101" s="44"/>
    </row>
    <row r="102" spans="3:23" s="100" customFormat="1" ht="12.75" customHeight="1" x14ac:dyDescent="0.2">
      <c r="C102" s="101" t="s">
        <v>12</v>
      </c>
      <c r="D102" s="101"/>
      <c r="E102" s="101"/>
      <c r="F102" s="101"/>
      <c r="G102" s="3"/>
      <c r="H102" s="101"/>
      <c r="I102" s="101"/>
      <c r="J102" s="3"/>
      <c r="K102" s="101"/>
      <c r="L102" s="101"/>
      <c r="M102" s="101"/>
      <c r="N102" s="101"/>
      <c r="O102" s="101"/>
      <c r="P102" s="3"/>
      <c r="Q102" s="102">
        <f>Q88-Q100</f>
        <v>0</v>
      </c>
      <c r="R102" s="102">
        <f t="shared" ref="R102:U102" si="18">R88-R100</f>
        <v>0</v>
      </c>
      <c r="S102" s="102">
        <f t="shared" si="18"/>
        <v>0</v>
      </c>
      <c r="T102" s="102">
        <f t="shared" si="18"/>
        <v>0</v>
      </c>
      <c r="U102" s="102">
        <f t="shared" si="18"/>
        <v>0</v>
      </c>
      <c r="W102" s="102">
        <f>SUM(Q102:U102)</f>
        <v>0</v>
      </c>
    </row>
    <row r="104" spans="3:23" x14ac:dyDescent="0.2">
      <c r="C104" s="10" t="str">
        <f>"NPV ($ "&amp;Assumptions!$B$17&amp;")"</f>
        <v>NPV ($ 2020/21)</v>
      </c>
      <c r="D104" s="147">
        <f>NPV(Assumptions!$B$6,$Q$100:$U$100)</f>
        <v>7823670.9233685769</v>
      </c>
    </row>
  </sheetData>
  <conditionalFormatting sqref="Q89:U89">
    <cfRule type="expression" dxfId="3" priority="6">
      <formula>ABS(Q89)&gt;0.001</formula>
    </cfRule>
  </conditionalFormatting>
  <conditionalFormatting sqref="W89">
    <cfRule type="expression" dxfId="2" priority="7">
      <formula>ABS(W89)&gt;0.001</formula>
    </cfRule>
  </conditionalFormatting>
  <conditionalFormatting sqref="W102">
    <cfRule type="expression" dxfId="1" priority="2">
      <formula>ABS(W102)&gt;0.001</formula>
    </cfRule>
  </conditionalFormatting>
  <conditionalFormatting sqref="Q102:U102">
    <cfRule type="expression" dxfId="0" priority="1">
      <formula>ABS(Q102)&gt;0.001</formula>
    </cfRule>
  </conditionalFormatting>
  <dataValidations count="3">
    <dataValidation type="list" allowBlank="1" showInputMessage="1" showErrorMessage="1" sqref="F67:F77 F10:F54 F57:F64">
      <formula1>"Labour, Materials, Contracts"</formula1>
    </dataValidation>
    <dataValidation type="list" allowBlank="1" showInputMessage="1" showErrorMessage="1" sqref="E67:E77 E10:E54 E57:E64">
      <formula1>"CapEx, OpEx"</formula1>
    </dataValidation>
    <dataValidation type="list" allowBlank="1" showInputMessage="1" showErrorMessage="1" sqref="D10:D54 D67:D77 D57:D64">
      <formula1>"VPN, UE, All"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Output_UE</vt:lpstr>
      <vt:lpstr>Output_VPN</vt:lpstr>
      <vt:lpstr>Summary</vt:lpstr>
      <vt:lpstr>Assumptions</vt:lpstr>
      <vt:lpstr>Option 1</vt:lpstr>
      <vt:lpstr>Option 2</vt:lpstr>
      <vt:lpstr>Option 3</vt:lpstr>
      <vt:lpstr>Conv_2021</vt:lpstr>
      <vt:lpstr>Option1_categories</vt:lpstr>
      <vt:lpstr>Option1_costs</vt:lpstr>
      <vt:lpstr>Option2_categories</vt:lpstr>
      <vt:lpstr>Option2_costs</vt:lpstr>
      <vt:lpstr>Option3_categories</vt:lpstr>
      <vt:lpstr>Option3_costs</vt:lpstr>
      <vt:lpstr>Summary!Print_Area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2019-11-17T22:50:48Z</dcterms:created>
  <dcterms:modified xsi:type="dcterms:W3CDTF">2020-01-22T04:47:38Z</dcterms:modified>
</cp:coreProperties>
</file>