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/>
  <bookViews>
    <workbookView xWindow="990" yWindow="-120" windowWidth="27930" windowHeight="16440" tabRatio="896"/>
  </bookViews>
  <sheets>
    <sheet name="Output" sheetId="72" r:id="rId1"/>
    <sheet name="Summary" sheetId="70" r:id="rId2"/>
    <sheet name="Assumptions" sheetId="74" r:id="rId3"/>
    <sheet name="Option 1" sheetId="69" r:id="rId4"/>
    <sheet name="Option 2" sheetId="71" r:id="rId5"/>
  </sheets>
  <definedNames>
    <definedName name="Conv_2021">Assumptions!$B$18</definedName>
    <definedName name="Option1_categories">'Option 1'!$C$37:$C$42</definedName>
    <definedName name="Option1_costs">'Option 1'!$P$37:$T$42</definedName>
    <definedName name="Option2_categories">'Option 2'!$C$46:$C$51</definedName>
    <definedName name="Option2_costs">'Option 2'!$P$46:$T$51</definedName>
    <definedName name="_xlnm.Print_Area" localSheetId="1">Summary!$A$1:$J$30</definedName>
    <definedName name="years">'Option 1'!$P$8:$T$8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4" i="71" l="1"/>
  <c r="Q34" i="71"/>
  <c r="R34" i="71"/>
  <c r="S34" i="71"/>
  <c r="T34" i="71"/>
  <c r="P35" i="71"/>
  <c r="Q35" i="71"/>
  <c r="R35" i="71"/>
  <c r="S35" i="71"/>
  <c r="T35" i="71"/>
  <c r="P36" i="71"/>
  <c r="Q36" i="71"/>
  <c r="R36" i="71"/>
  <c r="S36" i="71"/>
  <c r="T36" i="71"/>
  <c r="P37" i="71"/>
  <c r="Q37" i="71"/>
  <c r="R37" i="71"/>
  <c r="S37" i="71"/>
  <c r="T37" i="71"/>
  <c r="P38" i="71"/>
  <c r="Q38" i="71"/>
  <c r="R38" i="71"/>
  <c r="S38" i="71"/>
  <c r="T38" i="71"/>
  <c r="P39" i="71"/>
  <c r="Q39" i="71"/>
  <c r="R39" i="71"/>
  <c r="S39" i="71"/>
  <c r="T39" i="71"/>
  <c r="P40" i="71"/>
  <c r="Q40" i="71"/>
  <c r="R40" i="71"/>
  <c r="S40" i="71"/>
  <c r="T40" i="71"/>
  <c r="P41" i="71"/>
  <c r="Q41" i="71"/>
  <c r="R41" i="71"/>
  <c r="S41" i="71"/>
  <c r="T41" i="71"/>
  <c r="P23" i="71"/>
  <c r="Q23" i="71"/>
  <c r="R23" i="71"/>
  <c r="S23" i="71"/>
  <c r="T23" i="71"/>
  <c r="P24" i="71"/>
  <c r="Q24" i="71"/>
  <c r="R24" i="71"/>
  <c r="S24" i="71"/>
  <c r="T24" i="71"/>
  <c r="P25" i="71"/>
  <c r="Q25" i="71"/>
  <c r="R25" i="71"/>
  <c r="S25" i="71"/>
  <c r="T25" i="71"/>
  <c r="P26" i="71"/>
  <c r="Q26" i="71"/>
  <c r="R26" i="71"/>
  <c r="S26" i="71"/>
  <c r="T26" i="71"/>
  <c r="P27" i="71"/>
  <c r="Q27" i="71"/>
  <c r="R27" i="71"/>
  <c r="S27" i="71"/>
  <c r="T27" i="71"/>
  <c r="P28" i="71"/>
  <c r="Q28" i="71"/>
  <c r="R28" i="71"/>
  <c r="S28" i="71"/>
  <c r="T28" i="71"/>
  <c r="P29" i="71"/>
  <c r="Q29" i="71"/>
  <c r="R29" i="71"/>
  <c r="S29" i="71"/>
  <c r="T29" i="71"/>
  <c r="P30" i="71"/>
  <c r="Q30" i="71"/>
  <c r="R30" i="71"/>
  <c r="S30" i="71"/>
  <c r="T30" i="71"/>
  <c r="P11" i="71"/>
  <c r="Q11" i="71"/>
  <c r="R11" i="71"/>
  <c r="S11" i="71"/>
  <c r="T11" i="71"/>
  <c r="P12" i="71"/>
  <c r="Q12" i="71"/>
  <c r="R12" i="71"/>
  <c r="S12" i="71"/>
  <c r="T12" i="71"/>
  <c r="P13" i="71"/>
  <c r="Q13" i="71"/>
  <c r="R13" i="71"/>
  <c r="S13" i="71"/>
  <c r="T13" i="71"/>
  <c r="P14" i="71"/>
  <c r="Q14" i="71"/>
  <c r="R14" i="71"/>
  <c r="S14" i="71"/>
  <c r="T14" i="71"/>
  <c r="P15" i="71"/>
  <c r="Q15" i="71"/>
  <c r="R15" i="71"/>
  <c r="S15" i="71"/>
  <c r="T15" i="71"/>
  <c r="P16" i="71"/>
  <c r="Q16" i="71"/>
  <c r="R16" i="71"/>
  <c r="S16" i="71"/>
  <c r="T16" i="71"/>
  <c r="P17" i="71"/>
  <c r="Q17" i="71"/>
  <c r="R17" i="71"/>
  <c r="S17" i="71"/>
  <c r="T17" i="71"/>
  <c r="P18" i="71"/>
  <c r="Q18" i="71"/>
  <c r="R18" i="71"/>
  <c r="S18" i="71"/>
  <c r="T18" i="71"/>
  <c r="P19" i="71"/>
  <c r="Q19" i="71"/>
  <c r="R19" i="71"/>
  <c r="S19" i="71"/>
  <c r="T19" i="71"/>
  <c r="T42" i="69"/>
  <c r="S42" i="69"/>
  <c r="R42" i="69"/>
  <c r="Q42" i="69"/>
  <c r="P42" i="69"/>
  <c r="T41" i="69"/>
  <c r="S41" i="69"/>
  <c r="R41" i="69"/>
  <c r="Q41" i="69"/>
  <c r="P41" i="69"/>
  <c r="T40" i="69"/>
  <c r="S40" i="69"/>
  <c r="R40" i="69"/>
  <c r="Q40" i="69"/>
  <c r="P40" i="69"/>
  <c r="P29" i="69"/>
  <c r="Q29" i="69"/>
  <c r="R29" i="69"/>
  <c r="S29" i="69"/>
  <c r="T29" i="69"/>
  <c r="P30" i="69"/>
  <c r="Q30" i="69"/>
  <c r="R30" i="69"/>
  <c r="S30" i="69"/>
  <c r="T30" i="69"/>
  <c r="P31" i="69"/>
  <c r="Q31" i="69"/>
  <c r="R31" i="69"/>
  <c r="S31" i="69"/>
  <c r="T31" i="69"/>
  <c r="P32" i="69"/>
  <c r="Q32" i="69"/>
  <c r="R32" i="69"/>
  <c r="S32" i="69"/>
  <c r="T32" i="69"/>
  <c r="P33" i="69"/>
  <c r="Q33" i="69"/>
  <c r="R33" i="69"/>
  <c r="S33" i="69"/>
  <c r="T33" i="69"/>
  <c r="P21" i="69"/>
  <c r="Q21" i="69"/>
  <c r="R21" i="69"/>
  <c r="S21" i="69"/>
  <c r="T21" i="69"/>
  <c r="P22" i="69"/>
  <c r="Q22" i="69"/>
  <c r="R22" i="69"/>
  <c r="S22" i="69"/>
  <c r="T22" i="69"/>
  <c r="P23" i="69"/>
  <c r="Q23" i="69"/>
  <c r="R23" i="69"/>
  <c r="S23" i="69"/>
  <c r="T23" i="69"/>
  <c r="P24" i="69"/>
  <c r="Q24" i="69"/>
  <c r="R24" i="69"/>
  <c r="S24" i="69"/>
  <c r="T24" i="69"/>
  <c r="P25" i="69"/>
  <c r="Q25" i="69"/>
  <c r="R25" i="69"/>
  <c r="S25" i="69"/>
  <c r="T25" i="69"/>
  <c r="P11" i="69"/>
  <c r="Q11" i="69"/>
  <c r="R11" i="69"/>
  <c r="S11" i="69"/>
  <c r="T11" i="69"/>
  <c r="P12" i="69"/>
  <c r="Q12" i="69"/>
  <c r="R12" i="69"/>
  <c r="S12" i="69"/>
  <c r="T12" i="69"/>
  <c r="P13" i="69"/>
  <c r="Q13" i="69"/>
  <c r="R13" i="69"/>
  <c r="S13" i="69"/>
  <c r="T13" i="69"/>
  <c r="P14" i="69"/>
  <c r="Q14" i="69"/>
  <c r="R14" i="69"/>
  <c r="S14" i="69"/>
  <c r="T14" i="69"/>
  <c r="P15" i="69"/>
  <c r="Q15" i="69"/>
  <c r="R15" i="69"/>
  <c r="S15" i="69"/>
  <c r="T15" i="69"/>
  <c r="P16" i="69"/>
  <c r="Q16" i="69"/>
  <c r="R16" i="69"/>
  <c r="S16" i="69"/>
  <c r="T16" i="69"/>
  <c r="P17" i="69"/>
  <c r="Q17" i="69"/>
  <c r="R17" i="69"/>
  <c r="S17" i="69"/>
  <c r="T17" i="69"/>
  <c r="T10" i="69"/>
  <c r="T37" i="69"/>
  <c r="S10" i="69"/>
  <c r="S37" i="69"/>
  <c r="R10" i="69"/>
  <c r="R37" i="69"/>
  <c r="Q10" i="69"/>
  <c r="Q37" i="69"/>
  <c r="P10" i="69"/>
  <c r="P37" i="69"/>
  <c r="T10" i="71"/>
  <c r="T49" i="71"/>
  <c r="T50" i="71"/>
  <c r="T51" i="71"/>
  <c r="S10" i="71"/>
  <c r="S49" i="71"/>
  <c r="S50" i="71"/>
  <c r="S51" i="71"/>
  <c r="R10" i="71"/>
  <c r="R49" i="71"/>
  <c r="R50" i="71"/>
  <c r="R51" i="71"/>
  <c r="Q10" i="71"/>
  <c r="Q49" i="71"/>
  <c r="Q50" i="71"/>
  <c r="Q51" i="71"/>
  <c r="P10" i="71"/>
  <c r="P49" i="71"/>
  <c r="P50" i="71"/>
  <c r="P51" i="71"/>
  <c r="A24" i="74"/>
  <c r="A23" i="74"/>
  <c r="A5" i="71"/>
  <c r="A5" i="69"/>
  <c r="P20" i="69"/>
  <c r="P38" i="69"/>
  <c r="P28" i="69"/>
  <c r="P39" i="69"/>
  <c r="E14" i="74"/>
  <c r="F14" i="74"/>
  <c r="G14" i="74"/>
  <c r="H14" i="74"/>
  <c r="I14" i="74"/>
  <c r="J14" i="74"/>
  <c r="B16" i="74"/>
  <c r="Q20" i="69"/>
  <c r="Q38" i="69"/>
  <c r="Q28" i="69"/>
  <c r="Q39" i="69"/>
  <c r="R20" i="69"/>
  <c r="R38" i="69"/>
  <c r="R28" i="69"/>
  <c r="R39" i="69"/>
  <c r="S20" i="69"/>
  <c r="S38" i="69"/>
  <c r="S28" i="69"/>
  <c r="S39" i="69"/>
  <c r="T20" i="69"/>
  <c r="T38" i="69"/>
  <c r="T28" i="69"/>
  <c r="T39" i="69"/>
  <c r="C47" i="69"/>
  <c r="P22" i="71"/>
  <c r="P47" i="71"/>
  <c r="P33" i="71"/>
  <c r="P42" i="71"/>
  <c r="Q22" i="71"/>
  <c r="Q47" i="71"/>
  <c r="Q33" i="71"/>
  <c r="Q42" i="71"/>
  <c r="R22" i="71"/>
  <c r="R47" i="71"/>
  <c r="R33" i="71"/>
  <c r="R42" i="71"/>
  <c r="S22" i="71"/>
  <c r="S47" i="71"/>
  <c r="S33" i="71"/>
  <c r="S42" i="71"/>
  <c r="S48" i="71"/>
  <c r="T22" i="71"/>
  <c r="T47" i="71"/>
  <c r="T33" i="71"/>
  <c r="T42" i="71"/>
  <c r="C56" i="71"/>
  <c r="D13" i="70"/>
  <c r="D12" i="70"/>
  <c r="D11" i="70"/>
  <c r="D22" i="70"/>
  <c r="D21" i="70"/>
  <c r="D20" i="70"/>
  <c r="G10" i="72"/>
  <c r="H10" i="72"/>
  <c r="J10" i="72"/>
  <c r="K10" i="72"/>
  <c r="M10" i="72"/>
  <c r="N10" i="72"/>
  <c r="P10" i="72"/>
  <c r="Q10" i="72"/>
  <c r="S10" i="72"/>
  <c r="T10" i="72"/>
  <c r="V10" i="72"/>
  <c r="W10" i="72"/>
  <c r="X10" i="72"/>
  <c r="Y10" i="72"/>
  <c r="Z10" i="72"/>
  <c r="G19" i="70"/>
  <c r="H19" i="70"/>
  <c r="I19" i="70"/>
  <c r="J19" i="70"/>
  <c r="F19" i="70"/>
  <c r="C53" i="71"/>
  <c r="C52" i="71"/>
  <c r="C44" i="69"/>
  <c r="C43" i="69"/>
  <c r="A2" i="71"/>
  <c r="A1" i="71"/>
  <c r="A2" i="69"/>
  <c r="A1" i="69"/>
  <c r="A2" i="72"/>
  <c r="A1" i="72"/>
  <c r="A2" i="70"/>
  <c r="A1" i="70"/>
  <c r="D5" i="72"/>
  <c r="A11" i="71"/>
  <c r="A10" i="71"/>
  <c r="A12" i="71"/>
  <c r="A16" i="71"/>
  <c r="A17" i="71"/>
  <c r="A18" i="71"/>
  <c r="A19" i="71"/>
  <c r="A20" i="71"/>
  <c r="A22" i="71"/>
  <c r="A30" i="71"/>
  <c r="A33" i="71"/>
  <c r="R48" i="71"/>
  <c r="Q48" i="71"/>
  <c r="B18" i="74"/>
  <c r="T48" i="71"/>
  <c r="P48" i="71"/>
  <c r="P46" i="71"/>
  <c r="R46" i="71"/>
  <c r="T46" i="71"/>
  <c r="S46" i="71"/>
  <c r="S52" i="71"/>
  <c r="S54" i="71"/>
  <c r="Q46" i="71"/>
  <c r="Q43" i="69"/>
  <c r="Q44" i="69"/>
  <c r="R43" i="69"/>
  <c r="R45" i="69"/>
  <c r="P52" i="71"/>
  <c r="P54" i="71"/>
  <c r="S53" i="71"/>
  <c r="R52" i="71"/>
  <c r="R53" i="71"/>
  <c r="T52" i="71"/>
  <c r="P53" i="71"/>
  <c r="Q52" i="71"/>
  <c r="P43" i="69"/>
  <c r="P45" i="69"/>
  <c r="T43" i="69"/>
  <c r="T44" i="69"/>
  <c r="Q45" i="69"/>
  <c r="R44" i="69"/>
  <c r="S43" i="69"/>
  <c r="P44" i="69"/>
  <c r="T53" i="71"/>
  <c r="T54" i="71"/>
  <c r="R54" i="71"/>
  <c r="Q54" i="71"/>
  <c r="Q53" i="71"/>
  <c r="T45" i="69"/>
  <c r="S45" i="69"/>
  <c r="S44" i="69"/>
  <c r="D47" i="69"/>
  <c r="D56" i="71"/>
  <c r="V54" i="71"/>
  <c r="V3" i="71"/>
  <c r="V45" i="69"/>
  <c r="V3" i="69"/>
  <c r="D6" i="72"/>
  <c r="D7" i="70"/>
  <c r="F11" i="70"/>
  <c r="F13" i="70"/>
  <c r="G12" i="70"/>
  <c r="H11" i="70"/>
  <c r="H13" i="70"/>
  <c r="I12" i="70"/>
  <c r="J13" i="70"/>
  <c r="J22" i="70"/>
  <c r="H21" i="70"/>
  <c r="F22" i="70"/>
  <c r="G20" i="70"/>
  <c r="J12" i="70"/>
  <c r="I22" i="70"/>
  <c r="I21" i="70"/>
  <c r="H22" i="70"/>
  <c r="F12" i="70"/>
  <c r="G11" i="70"/>
  <c r="G13" i="70"/>
  <c r="H12" i="70"/>
  <c r="I11" i="70"/>
  <c r="I13" i="70"/>
  <c r="J11" i="70"/>
  <c r="F20" i="70"/>
  <c r="J20" i="70"/>
  <c r="G22" i="70"/>
  <c r="G21" i="70"/>
  <c r="F21" i="70"/>
  <c r="J21" i="70"/>
  <c r="H20" i="70"/>
  <c r="I20" i="70"/>
  <c r="I23" i="70" l="1"/>
  <c r="H23" i="70"/>
  <c r="J23" i="70"/>
  <c r="F23" i="70"/>
  <c r="J14" i="70"/>
  <c r="R12" i="72"/>
  <c r="Z12" i="72" s="1"/>
  <c r="Q12" i="72"/>
  <c r="I14" i="70"/>
  <c r="O12" i="72"/>
  <c r="M12" i="72"/>
  <c r="K12" i="72"/>
  <c r="I12" i="72"/>
  <c r="G14" i="70"/>
  <c r="G12" i="72"/>
  <c r="S12" i="72"/>
  <c r="G23" i="70"/>
  <c r="T12" i="72"/>
  <c r="P12" i="72"/>
  <c r="N12" i="72"/>
  <c r="L12" i="72"/>
  <c r="H14" i="70"/>
  <c r="J12" i="72"/>
  <c r="H12" i="72"/>
  <c r="F12" i="72"/>
  <c r="F14" i="70"/>
  <c r="F16" i="70" s="1"/>
  <c r="V12" i="72" l="1"/>
  <c r="W12" i="72"/>
  <c r="F25" i="70"/>
  <c r="X12" i="72"/>
  <c r="Y12" i="72"/>
  <c r="AB12" i="72" l="1"/>
</calcChain>
</file>

<file path=xl/sharedStrings.xml><?xml version="1.0" encoding="utf-8"?>
<sst xmlns="http://schemas.openxmlformats.org/spreadsheetml/2006/main" count="347" uniqueCount="71">
  <si>
    <t>VPN</t>
  </si>
  <si>
    <t>Materials</t>
  </si>
  <si>
    <t>Labour</t>
  </si>
  <si>
    <t>Assumptions</t>
  </si>
  <si>
    <t>Contracts</t>
  </si>
  <si>
    <t>CapEx</t>
  </si>
  <si>
    <t>Parameters</t>
  </si>
  <si>
    <t>Area Applied</t>
  </si>
  <si>
    <t>Assumption Types</t>
  </si>
  <si>
    <t>Type</t>
  </si>
  <si>
    <t>Units</t>
  </si>
  <si>
    <t>Cost ($)</t>
  </si>
  <si>
    <t>Check</t>
  </si>
  <si>
    <t>Summary</t>
  </si>
  <si>
    <t>Real Discount rate:</t>
  </si>
  <si>
    <t>Unit rate</t>
  </si>
  <si>
    <t>2021/22</t>
  </si>
  <si>
    <t>2022/23</t>
  </si>
  <si>
    <t>2023/24</t>
  </si>
  <si>
    <t>2024/25</t>
  </si>
  <si>
    <t>2025/26</t>
  </si>
  <si>
    <t>Option 2</t>
  </si>
  <si>
    <t>Preferred option:</t>
  </si>
  <si>
    <t>Capex/Opex</t>
  </si>
  <si>
    <t>Selected option:</t>
  </si>
  <si>
    <t>Total</t>
  </si>
  <si>
    <t>Function Code</t>
  </si>
  <si>
    <t>Service</t>
  </si>
  <si>
    <t>Total SCS</t>
  </si>
  <si>
    <t>Option 1</t>
  </si>
  <si>
    <t>Actual</t>
  </si>
  <si>
    <t>Forecast</t>
  </si>
  <si>
    <t>Cumulative CPI from 2015</t>
  </si>
  <si>
    <t>Multiply by:</t>
  </si>
  <si>
    <t>To:</t>
  </si>
  <si>
    <t>Cost inputs are in:</t>
  </si>
  <si>
    <t>2020/21</t>
  </si>
  <si>
    <t>To convert from nominal:</t>
  </si>
  <si>
    <t>dollars (mid year)</t>
  </si>
  <si>
    <t>dollars (end of FY)</t>
  </si>
  <si>
    <t>Checks OK</t>
  </si>
  <si>
    <t>OpEx</t>
  </si>
  <si>
    <t>Hours</t>
  </si>
  <si>
    <t>Each</t>
  </si>
  <si>
    <t>$</t>
  </si>
  <si>
    <t>Quantity of units</t>
  </si>
  <si>
    <t>Description</t>
  </si>
  <si>
    <t>Output ($, 2020/21)</t>
  </si>
  <si>
    <t>Forecast direct capex ($'000, 2020/21)</t>
  </si>
  <si>
    <t>Summary ($, 2020/21)</t>
  </si>
  <si>
    <t>Total Cost ($, 2020/21)</t>
  </si>
  <si>
    <t>Options</t>
  </si>
  <si>
    <t>Network Management</t>
  </si>
  <si>
    <t>SCADA/DMS/OMS Currency</t>
  </si>
  <si>
    <t>GIS Smallworld Currency</t>
  </si>
  <si>
    <t>Switching Currency - EDNAR</t>
  </si>
  <si>
    <t xml:space="preserve">Maintain CP/PAL Map Insights </t>
  </si>
  <si>
    <t>Network Data processing</t>
  </si>
  <si>
    <t>ION</t>
  </si>
  <si>
    <t>SIQ currency</t>
  </si>
  <si>
    <t>GIS intergration to s4 Hana</t>
  </si>
  <si>
    <t>Conflation - Geospatial alignment</t>
  </si>
  <si>
    <t>Conflation - Foundation</t>
  </si>
  <si>
    <t xml:space="preserve">Outage Management Reporting Currency </t>
  </si>
  <si>
    <t>Protection Systems application suite Currency</t>
  </si>
  <si>
    <t>NPV</t>
  </si>
  <si>
    <t>Dollars</t>
  </si>
  <si>
    <t>CPI</t>
  </si>
  <si>
    <t>Annual CPI - 12 months unlagged</t>
  </si>
  <si>
    <t>Mid CY</t>
  </si>
  <si>
    <t>End FY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</si>
</sst>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"/>
    <numFmt numFmtId="167" formatCode="&quot;$&quot;#,##0;[Red]\-&quot;$&quot;#,##0;\ &quot;-&quot;"/>
    <numFmt numFmtId="168" formatCode="&quot;$&quot;#,##0.00;[Red]\-&quot;$&quot;#,##0.00;\ &quot;-&quot;"/>
    <numFmt numFmtId="169" formatCode="#,##0_ ;[Red]\-#,##0;\ &quot;-&quot;"/>
    <numFmt numFmtId="170" formatCode="#,##0_ ;[Red]\-#,##0\ "/>
    <numFmt numFmtId="171" formatCode="&quot;Convert to December&quot;\ ####"/>
    <numFmt numFmtId="172" formatCode="0.00000000000000000"/>
    <numFmt numFmtId="173" formatCode="0.000000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Trebuchet MS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Verdana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</font>
    <font>
      <sz val="10"/>
      <color rgb="FF0066FF"/>
      <name val="Calibri"/>
      <family val="2"/>
    </font>
    <font>
      <i/>
      <sz val="10"/>
      <color theme="1"/>
      <name val="Calibri"/>
      <family val="2"/>
    </font>
    <font>
      <i/>
      <sz val="10"/>
      <color theme="1" tint="0.499984740745262"/>
      <name val="Calibri"/>
      <family val="2"/>
    </font>
    <font>
      <i/>
      <sz val="10"/>
      <name val="Calibri"/>
      <family val="2"/>
    </font>
    <font>
      <b/>
      <sz val="10"/>
      <color rgb="FFFFFFFF"/>
      <name val="Calibri"/>
      <family val="2"/>
      <scheme val="minor"/>
    </font>
    <font>
      <sz val="10"/>
      <name val="Calibri"/>
      <family val="2"/>
    </font>
    <font>
      <sz val="8"/>
      <color theme="0" tint="-0.499984740745262"/>
      <name val="Calibri"/>
      <family val="2"/>
      <scheme val="minor"/>
    </font>
    <font>
      <i/>
      <sz val="8"/>
      <color theme="0" tint="-0.499984740745262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sz val="10"/>
      <color rgb="FF0000FF"/>
      <name val="Calibri"/>
      <family val="2"/>
    </font>
    <font>
      <i/>
      <sz val="10"/>
      <color rgb="FF0000FF"/>
      <name val="Calibri"/>
      <family val="2"/>
    </font>
    <font>
      <sz val="10"/>
      <color rgb="FF0000FF"/>
      <name val="Calibri"/>
      <family val="2"/>
      <scheme val="minor"/>
    </font>
    <font>
      <sz val="8"/>
      <name val="Calibri"/>
      <family val="2"/>
      <scheme val="minor"/>
    </font>
    <font>
      <sz val="9"/>
      <color theme="0" tint="-0.249977111117893"/>
      <name val="Calibri"/>
      <family val="2"/>
      <scheme val="minor"/>
    </font>
    <font>
      <i/>
      <sz val="8"/>
      <color theme="2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6E5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BF2F9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ck">
        <color theme="0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7">
    <xf numFmtId="0" fontId="0" fillId="0" borderId="0"/>
    <xf numFmtId="0" fontId="4" fillId="0" borderId="0"/>
    <xf numFmtId="0" fontId="3" fillId="0" borderId="0"/>
    <xf numFmtId="0" fontId="5" fillId="0" borderId="0"/>
    <xf numFmtId="0" fontId="3" fillId="0" borderId="0"/>
    <xf numFmtId="44" fontId="5" fillId="0" borderId="0" applyFont="0" applyFill="0" applyBorder="0" applyAlignment="0" applyProtection="0"/>
    <xf numFmtId="0" fontId="1" fillId="0" borderId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/>
    <xf numFmtId="0" fontId="3" fillId="0" borderId="0"/>
    <xf numFmtId="0" fontId="8" fillId="0" borderId="0"/>
    <xf numFmtId="0" fontId="9" fillId="0" borderId="0"/>
    <xf numFmtId="0" fontId="10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9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</cellStyleXfs>
  <cellXfs count="134">
    <xf numFmtId="0" fontId="0" fillId="0" borderId="0" xfId="0"/>
    <xf numFmtId="0" fontId="12" fillId="0" borderId="0" xfId="0" applyFont="1"/>
    <xf numFmtId="0" fontId="12" fillId="0" borderId="0" xfId="0" applyFont="1" applyFill="1"/>
    <xf numFmtId="3" fontId="12" fillId="0" borderId="0" xfId="0" applyNumberFormat="1" applyFont="1"/>
    <xf numFmtId="0" fontId="12" fillId="0" borderId="0" xfId="0" applyFont="1" applyBorder="1"/>
    <xf numFmtId="0" fontId="13" fillId="0" borderId="3" xfId="0" applyFont="1" applyBorder="1"/>
    <xf numFmtId="0" fontId="12" fillId="0" borderId="0" xfId="0" applyFont="1" applyBorder="1" applyAlignment="1">
      <alignment horizontal="right"/>
    </xf>
    <xf numFmtId="0" fontId="13" fillId="0" borderId="0" xfId="0" applyFont="1" applyBorder="1"/>
    <xf numFmtId="167" fontId="12" fillId="0" borderId="1" xfId="0" applyNumberFormat="1" applyFont="1" applyFill="1" applyBorder="1" applyAlignment="1">
      <alignment horizontal="right" vertical="top"/>
    </xf>
    <xf numFmtId="167" fontId="12" fillId="0" borderId="0" xfId="0" applyNumberFormat="1" applyFont="1" applyFill="1" applyBorder="1" applyAlignment="1">
      <alignment horizontal="right" vertical="top"/>
    </xf>
    <xf numFmtId="0" fontId="13" fillId="0" borderId="4" xfId="0" applyFont="1" applyBorder="1"/>
    <xf numFmtId="167" fontId="13" fillId="0" borderId="4" xfId="0" applyNumberFormat="1" applyFont="1" applyFill="1" applyBorder="1" applyAlignment="1">
      <alignment horizontal="right" vertical="top"/>
    </xf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4" fillId="3" borderId="0" xfId="0" applyFont="1" applyFill="1"/>
    <xf numFmtId="0" fontId="14" fillId="3" borderId="0" xfId="0" applyFont="1" applyFill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0" fontId="15" fillId="0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7" fillId="0" borderId="0" xfId="0" applyFont="1"/>
    <xf numFmtId="0" fontId="13" fillId="4" borderId="2" xfId="0" applyFont="1" applyFill="1" applyBorder="1" applyAlignment="1">
      <alignment horizontal="centerContinuous"/>
    </xf>
    <xf numFmtId="0" fontId="12" fillId="4" borderId="2" xfId="0" applyFont="1" applyFill="1" applyBorder="1" applyAlignment="1">
      <alignment horizontal="centerContinuous"/>
    </xf>
    <xf numFmtId="0" fontId="13" fillId="0" borderId="5" xfId="0" applyFont="1" applyBorder="1"/>
    <xf numFmtId="167" fontId="13" fillId="0" borderId="5" xfId="0" applyNumberFormat="1" applyFont="1" applyFill="1" applyBorder="1" applyAlignment="1">
      <alignment horizontal="right" vertical="top"/>
    </xf>
    <xf numFmtId="167" fontId="13" fillId="0" borderId="0" xfId="0" applyNumberFormat="1" applyFont="1" applyFill="1" applyBorder="1" applyAlignment="1">
      <alignment horizontal="right" vertical="top"/>
    </xf>
    <xf numFmtId="0" fontId="12" fillId="0" borderId="2" xfId="0" applyFont="1" applyBorder="1"/>
    <xf numFmtId="0" fontId="12" fillId="0" borderId="2" xfId="0" applyFont="1" applyBorder="1" applyAlignment="1">
      <alignment horizontal="center"/>
    </xf>
    <xf numFmtId="167" fontId="12" fillId="0" borderId="2" xfId="0" applyNumberFormat="1" applyFont="1" applyFill="1" applyBorder="1" applyAlignment="1">
      <alignment horizontal="right" vertical="top"/>
    </xf>
    <xf numFmtId="0" fontId="13" fillId="0" borderId="0" xfId="0" applyFont="1" applyBorder="1" applyAlignment="1">
      <alignment horizontal="center"/>
    </xf>
    <xf numFmtId="0" fontId="18" fillId="0" borderId="0" xfId="0" applyFont="1"/>
    <xf numFmtId="0" fontId="2" fillId="0" borderId="0" xfId="13" applyFont="1" applyFill="1" applyAlignment="1">
      <alignment horizontal="left" vertical="center"/>
    </xf>
    <xf numFmtId="0" fontId="0" fillId="0" borderId="0" xfId="0" applyFill="1"/>
    <xf numFmtId="0" fontId="19" fillId="3" borderId="0" xfId="0" applyFont="1" applyFill="1"/>
    <xf numFmtId="0" fontId="20" fillId="3" borderId="0" xfId="0" applyFont="1" applyFill="1"/>
    <xf numFmtId="0" fontId="21" fillId="3" borderId="0" xfId="0" applyFont="1" applyFill="1"/>
    <xf numFmtId="0" fontId="21" fillId="3" borderId="0" xfId="0" applyFont="1" applyFill="1" applyAlignment="1">
      <alignment horizontal="center"/>
    </xf>
    <xf numFmtId="0" fontId="22" fillId="0" borderId="0" xfId="0" applyFont="1"/>
    <xf numFmtId="6" fontId="13" fillId="0" borderId="0" xfId="0" applyNumberFormat="1" applyFont="1"/>
    <xf numFmtId="8" fontId="13" fillId="0" borderId="0" xfId="0" applyNumberFormat="1" applyFont="1" applyBorder="1"/>
    <xf numFmtId="0" fontId="13" fillId="0" borderId="0" xfId="0" applyFont="1" applyFill="1"/>
    <xf numFmtId="0" fontId="13" fillId="5" borderId="1" xfId="0" applyFont="1" applyFill="1" applyBorder="1"/>
    <xf numFmtId="167" fontId="12" fillId="0" borderId="0" xfId="0" applyNumberFormat="1" applyFont="1" applyFill="1"/>
    <xf numFmtId="6" fontId="12" fillId="0" borderId="2" xfId="0" applyNumberFormat="1" applyFont="1" applyFill="1" applyBorder="1" applyAlignment="1">
      <alignment horizontal="right" vertical="top"/>
    </xf>
    <xf numFmtId="0" fontId="23" fillId="3" borderId="0" xfId="0" applyFont="1" applyFill="1"/>
    <xf numFmtId="0" fontId="23" fillId="3" borderId="0" xfId="0" applyFont="1" applyFill="1" applyAlignment="1">
      <alignment horizontal="center"/>
    </xf>
    <xf numFmtId="0" fontId="24" fillId="0" borderId="0" xfId="0" applyFont="1"/>
    <xf numFmtId="0" fontId="25" fillId="3" borderId="0" xfId="0" applyFont="1" applyFill="1"/>
    <xf numFmtId="0" fontId="25" fillId="3" borderId="0" xfId="0" applyFont="1" applyFill="1" applyAlignment="1">
      <alignment horizontal="center"/>
    </xf>
    <xf numFmtId="0" fontId="26" fillId="0" borderId="0" xfId="0" applyFont="1"/>
    <xf numFmtId="0" fontId="27" fillId="6" borderId="0" xfId="14" applyFont="1" applyFill="1" applyAlignment="1" applyProtection="1"/>
    <xf numFmtId="0" fontId="27" fillId="6" borderId="0" xfId="14" applyFont="1" applyFill="1" applyProtection="1"/>
    <xf numFmtId="0" fontId="27" fillId="6" borderId="0" xfId="14" applyFont="1" applyFill="1" applyAlignment="1" applyProtection="1">
      <alignment textRotation="2"/>
    </xf>
    <xf numFmtId="0" fontId="27" fillId="6" borderId="0" xfId="14" applyFont="1" applyFill="1" applyBorder="1" applyAlignment="1" applyProtection="1">
      <alignment textRotation="2"/>
    </xf>
    <xf numFmtId="0" fontId="28" fillId="7" borderId="0" xfId="14" applyFont="1" applyFill="1" applyAlignment="1" applyProtection="1"/>
    <xf numFmtId="0" fontId="29" fillId="6" borderId="0" xfId="14" applyFont="1" applyFill="1" applyAlignment="1" applyProtection="1"/>
    <xf numFmtId="0" fontId="29" fillId="6" borderId="0" xfId="14" applyFont="1" applyFill="1" applyProtection="1"/>
    <xf numFmtId="0" fontId="29" fillId="5" borderId="0" xfId="14" applyFont="1" applyFill="1" applyAlignment="1" applyProtection="1"/>
    <xf numFmtId="0" fontId="30" fillId="6" borderId="0" xfId="14" applyFont="1" applyFill="1" applyAlignment="1" applyProtection="1">
      <alignment textRotation="2"/>
    </xf>
    <xf numFmtId="0" fontId="30" fillId="6" borderId="0" xfId="14" applyFont="1" applyFill="1" applyProtection="1"/>
    <xf numFmtId="0" fontId="30" fillId="6" borderId="0" xfId="14" applyFont="1" applyFill="1" applyBorder="1" applyAlignment="1" applyProtection="1">
      <alignment textRotation="2"/>
    </xf>
    <xf numFmtId="0" fontId="30" fillId="6" borderId="0" xfId="14" applyFont="1" applyFill="1" applyAlignment="1" applyProtection="1"/>
    <xf numFmtId="0" fontId="31" fillId="6" borderId="0" xfId="14" applyFont="1" applyFill="1" applyAlignment="1" applyProtection="1"/>
    <xf numFmtId="0" fontId="32" fillId="7" borderId="0" xfId="14" applyFont="1" applyFill="1" applyBorder="1" applyProtection="1"/>
    <xf numFmtId="0" fontId="29" fillId="7" borderId="0" xfId="14" applyFont="1" applyFill="1" applyBorder="1" applyProtection="1"/>
    <xf numFmtId="0" fontId="32" fillId="6" borderId="0" xfId="14" applyFont="1" applyFill="1" applyProtection="1"/>
    <xf numFmtId="0" fontId="13" fillId="8" borderId="0" xfId="14" applyFont="1" applyFill="1" applyBorder="1"/>
    <xf numFmtId="0" fontId="12" fillId="8" borderId="0" xfId="14" applyFont="1" applyFill="1" applyBorder="1"/>
    <xf numFmtId="0" fontId="13" fillId="8" borderId="6" xfId="14" applyNumberFormat="1" applyFont="1" applyFill="1" applyBorder="1" applyAlignment="1">
      <alignment horizontal="right"/>
    </xf>
    <xf numFmtId="0" fontId="13" fillId="8" borderId="0" xfId="14" applyNumberFormat="1" applyFont="1" applyFill="1" applyBorder="1" applyAlignment="1">
      <alignment horizontal="right"/>
    </xf>
    <xf numFmtId="0" fontId="29" fillId="8" borderId="0" xfId="14" applyFont="1" applyFill="1" applyBorder="1"/>
    <xf numFmtId="0" fontId="13" fillId="8" borderId="6" xfId="0" applyNumberFormat="1" applyFont="1" applyFill="1" applyBorder="1" applyAlignment="1">
      <alignment horizontal="right" vertical="center" wrapText="1"/>
    </xf>
    <xf numFmtId="0" fontId="13" fillId="8" borderId="0" xfId="0" applyNumberFormat="1" applyFont="1" applyFill="1" applyBorder="1" applyAlignment="1">
      <alignment horizontal="right" vertical="center" wrapText="1"/>
    </xf>
    <xf numFmtId="0" fontId="13" fillId="8" borderId="0" xfId="0" applyFont="1" applyFill="1" applyBorder="1" applyAlignment="1">
      <alignment horizontal="right" vertical="center" wrapText="1"/>
    </xf>
    <xf numFmtId="0" fontId="32" fillId="6" borderId="0" xfId="14" applyFont="1" applyFill="1" applyAlignment="1" applyProtection="1">
      <alignment horizontal="center"/>
    </xf>
    <xf numFmtId="0" fontId="32" fillId="7" borderId="0" xfId="14" applyFont="1" applyFill="1" applyBorder="1"/>
    <xf numFmtId="3" fontId="32" fillId="7" borderId="0" xfId="14" applyNumberFormat="1" applyFont="1" applyFill="1" applyBorder="1"/>
    <xf numFmtId="169" fontId="12" fillId="0" borderId="0" xfId="0" applyNumberFormat="1" applyFont="1" applyFill="1"/>
    <xf numFmtId="0" fontId="24" fillId="0" borderId="0" xfId="0" applyFont="1" applyAlignment="1">
      <alignment horizontal="center"/>
    </xf>
    <xf numFmtId="2" fontId="13" fillId="0" borderId="0" xfId="0" applyNumberFormat="1" applyFont="1" applyFill="1" applyBorder="1" applyAlignment="1">
      <alignment horizontal="right" vertical="top"/>
    </xf>
    <xf numFmtId="0" fontId="13" fillId="4" borderId="3" xfId="0" applyFont="1" applyFill="1" applyBorder="1"/>
    <xf numFmtId="0" fontId="12" fillId="4" borderId="3" xfId="0" applyFont="1" applyFill="1" applyBorder="1"/>
    <xf numFmtId="0" fontId="13" fillId="4" borderId="3" xfId="0" applyFont="1" applyFill="1" applyBorder="1" applyAlignment="1">
      <alignment horizontal="center"/>
    </xf>
    <xf numFmtId="0" fontId="33" fillId="0" borderId="0" xfId="0" applyFont="1" applyBorder="1"/>
    <xf numFmtId="0" fontId="33" fillId="0" borderId="0" xfId="0" applyFont="1" applyBorder="1" applyAlignment="1">
      <alignment horizontal="right"/>
    </xf>
    <xf numFmtId="0" fontId="0" fillId="0" borderId="0" xfId="0" applyFont="1"/>
    <xf numFmtId="0" fontId="34" fillId="0" borderId="0" xfId="0" applyFont="1"/>
    <xf numFmtId="0" fontId="35" fillId="0" borderId="0" xfId="0" applyFont="1"/>
    <xf numFmtId="172" fontId="0" fillId="0" borderId="0" xfId="0" applyNumberFormat="1" applyFont="1"/>
    <xf numFmtId="10" fontId="35" fillId="0" borderId="0" xfId="26" applyNumberFormat="1" applyFont="1"/>
    <xf numFmtId="171" fontId="36" fillId="0" borderId="0" xfId="0" applyNumberFormat="1" applyFont="1"/>
    <xf numFmtId="0" fontId="36" fillId="0" borderId="0" xfId="0" applyFont="1"/>
    <xf numFmtId="171" fontId="37" fillId="0" borderId="0" xfId="0" applyNumberFormat="1" applyFont="1"/>
    <xf numFmtId="0" fontId="37" fillId="0" borderId="0" xfId="0" applyFont="1"/>
    <xf numFmtId="173" fontId="12" fillId="0" borderId="0" xfId="0" applyNumberFormat="1" applyFont="1"/>
    <xf numFmtId="0" fontId="38" fillId="0" borderId="0" xfId="13" applyFont="1" applyFill="1" applyAlignment="1">
      <alignment horizontal="left" vertical="center"/>
    </xf>
    <xf numFmtId="1" fontId="39" fillId="0" borderId="1" xfId="26" applyNumberFormat="1" applyFont="1" applyFill="1" applyBorder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/>
    <xf numFmtId="0" fontId="41" fillId="9" borderId="0" xfId="0" applyFont="1" applyFill="1"/>
    <xf numFmtId="169" fontId="42" fillId="9" borderId="0" xfId="0" applyNumberFormat="1" applyFont="1" applyFill="1"/>
    <xf numFmtId="0" fontId="0" fillId="0" borderId="2" xfId="0" applyBorder="1"/>
    <xf numFmtId="1" fontId="43" fillId="2" borderId="1" xfId="26" applyNumberFormat="1" applyFont="1" applyFill="1" applyBorder="1" applyAlignment="1">
      <alignment horizontal="right"/>
    </xf>
    <xf numFmtId="10" fontId="43" fillId="2" borderId="0" xfId="26" applyNumberFormat="1" applyFont="1" applyFill="1"/>
    <xf numFmtId="1" fontId="43" fillId="2" borderId="0" xfId="26" applyNumberFormat="1" applyFont="1" applyFill="1"/>
    <xf numFmtId="1" fontId="43" fillId="2" borderId="0" xfId="26" applyNumberFormat="1" applyFont="1" applyFill="1" applyAlignment="1">
      <alignment horizontal="right"/>
    </xf>
    <xf numFmtId="0" fontId="45" fillId="2" borderId="7" xfId="0" applyFont="1" applyFill="1" applyBorder="1" applyAlignment="1">
      <alignment vertical="center"/>
    </xf>
    <xf numFmtId="0" fontId="45" fillId="2" borderId="5" xfId="0" applyFont="1" applyFill="1" applyBorder="1" applyAlignment="1">
      <alignment vertical="center"/>
    </xf>
    <xf numFmtId="0" fontId="45" fillId="2" borderId="8" xfId="0" applyFont="1" applyFill="1" applyBorder="1" applyAlignment="1">
      <alignment vertical="center"/>
    </xf>
    <xf numFmtId="168" fontId="45" fillId="2" borderId="1" xfId="0" applyNumberFormat="1" applyFont="1" applyFill="1" applyBorder="1" applyAlignment="1">
      <alignment horizontal="right" vertical="top"/>
    </xf>
    <xf numFmtId="170" fontId="45" fillId="2" borderId="1" xfId="0" applyNumberFormat="1" applyFont="1" applyFill="1" applyBorder="1" applyAlignment="1">
      <alignment horizontal="right" vertical="top"/>
    </xf>
    <xf numFmtId="170" fontId="45" fillId="2" borderId="1" xfId="0" applyNumberFormat="1" applyFont="1" applyFill="1" applyBorder="1"/>
    <xf numFmtId="1" fontId="45" fillId="2" borderId="1" xfId="0" applyNumberFormat="1" applyFont="1" applyFill="1" applyBorder="1"/>
    <xf numFmtId="166" fontId="45" fillId="2" borderId="1" xfId="0" applyNumberFormat="1" applyFont="1" applyFill="1" applyBorder="1"/>
    <xf numFmtId="0" fontId="45" fillId="2" borderId="7" xfId="0" applyFont="1" applyFill="1" applyBorder="1"/>
    <xf numFmtId="172" fontId="12" fillId="0" borderId="0" xfId="0" applyNumberFormat="1" applyFont="1"/>
    <xf numFmtId="169" fontId="40" fillId="6" borderId="0" xfId="0" applyNumberFormat="1" applyFont="1" applyFill="1" applyAlignment="1">
      <alignment horizontal="left"/>
    </xf>
    <xf numFmtId="0" fontId="46" fillId="6" borderId="0" xfId="14" applyFont="1" applyFill="1" applyAlignment="1" applyProtection="1"/>
    <xf numFmtId="0" fontId="47" fillId="0" borderId="0" xfId="0" applyFont="1"/>
    <xf numFmtId="0" fontId="48" fillId="0" borderId="0" xfId="0" applyFont="1"/>
    <xf numFmtId="0" fontId="13" fillId="4" borderId="2" xfId="0" applyFont="1" applyFill="1" applyBorder="1" applyAlignment="1">
      <alignment horizontal="left"/>
    </xf>
    <xf numFmtId="0" fontId="13" fillId="10" borderId="0" xfId="0" applyFont="1" applyFill="1" applyBorder="1" applyAlignment="1">
      <alignment horizontal="center"/>
    </xf>
    <xf numFmtId="0" fontId="13" fillId="0" borderId="3" xfId="0" applyFont="1" applyBorder="1" applyAlignment="1">
      <alignment horizontal="left"/>
    </xf>
    <xf numFmtId="167" fontId="45" fillId="2" borderId="1" xfId="0" applyNumberFormat="1" applyFont="1" applyFill="1" applyBorder="1" applyAlignment="1">
      <alignment horizontal="right" vertical="top"/>
    </xf>
    <xf numFmtId="167" fontId="13" fillId="0" borderId="5" xfId="0" applyNumberFormat="1" applyFont="1" applyFill="1" applyBorder="1" applyAlignment="1">
      <alignment horizontal="left" vertical="top"/>
    </xf>
    <xf numFmtId="0" fontId="13" fillId="11" borderId="0" xfId="0" applyFont="1" applyFill="1" applyBorder="1"/>
    <xf numFmtId="6" fontId="13" fillId="11" borderId="0" xfId="0" applyNumberFormat="1" applyFont="1" applyFill="1" applyBorder="1"/>
    <xf numFmtId="0" fontId="36" fillId="0" borderId="2" xfId="0" applyFont="1" applyBorder="1" applyAlignment="1">
      <alignment horizontal="left"/>
    </xf>
    <xf numFmtId="0" fontId="36" fillId="0" borderId="2" xfId="0" applyFont="1" applyBorder="1" applyAlignment="1">
      <alignment horizontal="right"/>
    </xf>
    <xf numFmtId="0" fontId="0" fillId="0" borderId="0" xfId="0" applyBorder="1"/>
    <xf numFmtId="0" fontId="37" fillId="0" borderId="0" xfId="0" applyFont="1" applyBorder="1" applyAlignment="1">
      <alignment horizontal="right"/>
    </xf>
    <xf numFmtId="0" fontId="44" fillId="0" borderId="0" xfId="0" applyFont="1" applyBorder="1" applyAlignment="1">
      <alignment horizontal="right"/>
    </xf>
  </cellXfs>
  <cellStyles count="27">
    <cellStyle name="Comma 2" xfId="11"/>
    <cellStyle name="Comma 3" xfId="24"/>
    <cellStyle name="Currency 2" xfId="5"/>
    <cellStyle name="Currency 3" xfId="10"/>
    <cellStyle name="Currency 4" xfId="8"/>
    <cellStyle name="Currency 5" xfId="19"/>
    <cellStyle name="Currency 6" xfId="21"/>
    <cellStyle name="Normal" xfId="0" builtinId="0"/>
    <cellStyle name="Normal 2" xfId="1"/>
    <cellStyle name="Normal 2 2" xfId="3"/>
    <cellStyle name="Normal 2 3" xfId="4"/>
    <cellStyle name="Normal 2 4" xfId="6"/>
    <cellStyle name="Normal 3" xfId="2"/>
    <cellStyle name="Normal 3 2" xfId="14"/>
    <cellStyle name="Normal 3 3" xfId="22"/>
    <cellStyle name="Normal 3 3 2" xfId="25"/>
    <cellStyle name="Normal 4" xfId="7"/>
    <cellStyle name="Normal 5" xfId="13"/>
    <cellStyle name="Normal 6" xfId="15"/>
    <cellStyle name="Normal 7" xfId="16"/>
    <cellStyle name="Normal 8" xfId="17"/>
    <cellStyle name="Normal 9" xfId="20"/>
    <cellStyle name="Percent" xfId="26" builtinId="5"/>
    <cellStyle name="Percent 2" xfId="12"/>
    <cellStyle name="Percent 3" xfId="9"/>
    <cellStyle name="Percent 4" xfId="18"/>
    <cellStyle name="Percent 5" xfId="23"/>
  </cellStyles>
  <dxfs count="6"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</dxfs>
  <tableStyles count="0" defaultTableStyle="TableStyleMedium2" defaultPivotStyle="PivotStyleLight16"/>
  <colors>
    <mruColors>
      <color rgb="FFEBF2F9"/>
      <color rgb="FFE5EEF7"/>
      <color rgb="FFD6E5F2"/>
      <color rgb="FF0000FF"/>
      <color rgb="FFFF6600"/>
      <color rgb="FF0033CC"/>
      <color rgb="FFFFFFCC"/>
      <color rgb="FFFFCCFF"/>
      <color rgb="FF000099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D13"/>
  <sheetViews>
    <sheetView showGridLines="0" tabSelected="1" zoomScale="80" zoomScaleNormal="80" workbookViewId="0">
      <selection activeCell="J22" sqref="J22"/>
    </sheetView>
  </sheetViews>
  <sheetFormatPr defaultColWidth="9.140625" defaultRowHeight="18.75" x14ac:dyDescent="0.3"/>
  <cols>
    <col min="1" max="1" width="4.28515625" style="48" customWidth="1"/>
    <col min="2" max="2" width="7.85546875" style="48" customWidth="1"/>
    <col min="3" max="3" width="15.140625" style="48" customWidth="1"/>
    <col min="4" max="4" width="17.85546875" style="48" customWidth="1"/>
    <col min="5" max="9" width="10.7109375" style="48" customWidth="1"/>
    <col min="10" max="10" width="10.7109375" style="80" customWidth="1"/>
    <col min="11" max="20" width="10.7109375" style="48" customWidth="1"/>
    <col min="21" max="21" width="4" style="48" customWidth="1"/>
    <col min="22" max="26" width="10.7109375" style="48" customWidth="1"/>
    <col min="27" max="27" width="3.140625" style="48" customWidth="1"/>
    <col min="28" max="28" width="10.7109375" style="48" customWidth="1"/>
    <col min="29" max="29" width="9.140625" style="48"/>
    <col min="30" max="30" width="14.85546875" style="48" bestFit="1" customWidth="1"/>
    <col min="31" max="16384" width="9.140625" style="48"/>
  </cols>
  <sheetData>
    <row r="1" spans="1:30" ht="21" x14ac:dyDescent="0.35">
      <c r="A1" s="18" t="str">
        <f>Assumptions!A1</f>
        <v>Network Management</v>
      </c>
      <c r="B1" s="46"/>
      <c r="C1" s="46"/>
      <c r="D1" s="46"/>
      <c r="E1" s="46"/>
      <c r="F1" s="46"/>
      <c r="G1" s="46"/>
      <c r="H1" s="46"/>
      <c r="I1" s="46"/>
      <c r="J1" s="47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</row>
    <row r="2" spans="1:30" x14ac:dyDescent="0.3">
      <c r="A2" s="17" t="str">
        <f>Assumptions!A2</f>
        <v>VPN</v>
      </c>
      <c r="B2" s="46"/>
      <c r="C2" s="46"/>
      <c r="D2" s="46"/>
      <c r="E2" s="46"/>
      <c r="F2" s="46"/>
      <c r="G2" s="46"/>
      <c r="H2" s="46"/>
      <c r="I2" s="46"/>
      <c r="J2" s="47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</row>
    <row r="3" spans="1:30" s="51" customFormat="1" x14ac:dyDescent="0.3">
      <c r="A3" s="37" t="s">
        <v>47</v>
      </c>
      <c r="B3" s="49"/>
      <c r="C3" s="49"/>
      <c r="D3" s="49"/>
      <c r="E3" s="49"/>
      <c r="F3" s="49"/>
      <c r="G3" s="49"/>
      <c r="H3" s="49"/>
      <c r="I3" s="49"/>
      <c r="J3" s="49"/>
      <c r="K3" s="50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</row>
    <row r="4" spans="1:30" ht="12.75" customHeight="1" x14ac:dyDescent="0.3">
      <c r="A4" s="52"/>
      <c r="B4" s="52"/>
      <c r="C4" s="53"/>
      <c r="D4" s="53"/>
      <c r="E4" s="54"/>
      <c r="F4" s="53"/>
      <c r="G4" s="53"/>
      <c r="H4" s="54"/>
      <c r="I4" s="54"/>
      <c r="J4" s="54"/>
      <c r="K4" s="54"/>
      <c r="L4" s="54"/>
      <c r="M4" s="55"/>
      <c r="N4" s="55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</row>
    <row r="5" spans="1:30" s="2" customFormat="1" ht="12.75" customHeight="1" x14ac:dyDescent="0.2">
      <c r="A5" s="56"/>
      <c r="B5" s="57" t="s">
        <v>24</v>
      </c>
      <c r="C5" s="58"/>
      <c r="D5" s="59" t="str">
        <f>Summary!D6</f>
        <v>Option 1</v>
      </c>
      <c r="E5" s="60"/>
      <c r="F5" s="61"/>
      <c r="G5" s="61"/>
      <c r="H5" s="60"/>
      <c r="I5" s="60"/>
      <c r="J5" s="60"/>
      <c r="K5" s="60"/>
      <c r="L5" s="60"/>
      <c r="M5" s="62"/>
      <c r="N5" s="62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</row>
    <row r="6" spans="1:30" s="2" customFormat="1" ht="12.75" customHeight="1" x14ac:dyDescent="0.2">
      <c r="A6" s="56"/>
      <c r="B6" s="119" t="s">
        <v>40</v>
      </c>
      <c r="C6" s="67"/>
      <c r="D6" s="118" t="b">
        <f>AND('Option 1'!V3, 'Option 2'!V3)</f>
        <v>1</v>
      </c>
      <c r="E6" s="60"/>
      <c r="F6" s="61"/>
      <c r="G6" s="61"/>
      <c r="H6" s="60"/>
      <c r="I6" s="60"/>
      <c r="J6" s="60"/>
      <c r="K6" s="60"/>
      <c r="L6" s="60"/>
      <c r="M6" s="62"/>
      <c r="N6" s="62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</row>
    <row r="7" spans="1:30" s="2" customFormat="1" ht="12.75" customHeight="1" x14ac:dyDescent="0.2">
      <c r="A7" s="56"/>
      <c r="B7" s="56"/>
      <c r="C7" s="56"/>
      <c r="D7" s="56"/>
      <c r="E7" s="56"/>
      <c r="F7" s="56"/>
      <c r="G7" s="61"/>
      <c r="H7" s="60"/>
      <c r="I7" s="60"/>
      <c r="J7" s="60"/>
      <c r="K7" s="60"/>
      <c r="L7" s="60"/>
      <c r="M7" s="62"/>
      <c r="N7" s="62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</row>
    <row r="8" spans="1:30" s="2" customFormat="1" ht="12.75" customHeight="1" x14ac:dyDescent="0.2">
      <c r="A8" s="63"/>
      <c r="B8" s="64"/>
      <c r="C8" s="61"/>
      <c r="D8" s="61"/>
      <c r="E8" s="60"/>
      <c r="F8" s="61"/>
      <c r="G8" s="61"/>
      <c r="H8" s="60"/>
      <c r="I8" s="60"/>
      <c r="J8" s="60"/>
      <c r="K8" s="60"/>
      <c r="L8" s="60"/>
      <c r="M8" s="62"/>
      <c r="N8" s="62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</row>
    <row r="9" spans="1:30" s="2" customFormat="1" ht="12.75" customHeight="1" x14ac:dyDescent="0.2">
      <c r="A9" s="65"/>
      <c r="B9" s="66" t="s">
        <v>48</v>
      </c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</row>
    <row r="10" spans="1:30" s="2" customFormat="1" ht="12.75" customHeight="1" x14ac:dyDescent="0.2">
      <c r="A10" s="67"/>
      <c r="B10" s="68"/>
      <c r="C10" s="69"/>
      <c r="D10" s="69"/>
      <c r="E10" s="70"/>
      <c r="F10" s="71" t="s">
        <v>16</v>
      </c>
      <c r="G10" s="71" t="str">
        <f>F10</f>
        <v>2021/22</v>
      </c>
      <c r="H10" s="70" t="str">
        <f>G10</f>
        <v>2021/22</v>
      </c>
      <c r="I10" s="71" t="s">
        <v>17</v>
      </c>
      <c r="J10" s="71" t="str">
        <f>I10</f>
        <v>2022/23</v>
      </c>
      <c r="K10" s="70" t="str">
        <f>J10</f>
        <v>2022/23</v>
      </c>
      <c r="L10" s="71" t="s">
        <v>18</v>
      </c>
      <c r="M10" s="71" t="str">
        <f>L10</f>
        <v>2023/24</v>
      </c>
      <c r="N10" s="70" t="str">
        <f>M10</f>
        <v>2023/24</v>
      </c>
      <c r="O10" s="71" t="s">
        <v>19</v>
      </c>
      <c r="P10" s="71" t="str">
        <f>O10</f>
        <v>2024/25</v>
      </c>
      <c r="Q10" s="70" t="str">
        <f>P10</f>
        <v>2024/25</v>
      </c>
      <c r="R10" s="71" t="s">
        <v>20</v>
      </c>
      <c r="S10" s="71" t="str">
        <f>R10</f>
        <v>2025/26</v>
      </c>
      <c r="T10" s="70" t="str">
        <f>S10</f>
        <v>2025/26</v>
      </c>
      <c r="U10" s="67"/>
      <c r="V10" s="71" t="str">
        <f>F10</f>
        <v>2021/22</v>
      </c>
      <c r="W10" s="71" t="str">
        <f>I10</f>
        <v>2022/23</v>
      </c>
      <c r="X10" s="71" t="str">
        <f>L10</f>
        <v>2023/24</v>
      </c>
      <c r="Y10" s="71" t="str">
        <f>O10</f>
        <v>2024/25</v>
      </c>
      <c r="Z10" s="71" t="str">
        <f>R10</f>
        <v>2025/26</v>
      </c>
      <c r="AA10" s="67"/>
      <c r="AB10" s="71" t="s">
        <v>25</v>
      </c>
    </row>
    <row r="11" spans="1:30" s="2" customFormat="1" ht="12.75" customHeight="1" x14ac:dyDescent="0.2">
      <c r="A11" s="67"/>
      <c r="B11" s="72" t="s">
        <v>26</v>
      </c>
      <c r="C11" s="72" t="s">
        <v>27</v>
      </c>
      <c r="D11" s="72"/>
      <c r="E11" s="73"/>
      <c r="F11" s="74" t="s">
        <v>2</v>
      </c>
      <c r="G11" s="74" t="s">
        <v>1</v>
      </c>
      <c r="H11" s="73" t="s">
        <v>4</v>
      </c>
      <c r="I11" s="74" t="s">
        <v>2</v>
      </c>
      <c r="J11" s="74" t="s">
        <v>1</v>
      </c>
      <c r="K11" s="73" t="s">
        <v>4</v>
      </c>
      <c r="L11" s="74" t="s">
        <v>2</v>
      </c>
      <c r="M11" s="74" t="s">
        <v>1</v>
      </c>
      <c r="N11" s="73" t="s">
        <v>4</v>
      </c>
      <c r="O11" s="74" t="s">
        <v>2</v>
      </c>
      <c r="P11" s="74" t="s">
        <v>1</v>
      </c>
      <c r="Q11" s="73" t="s">
        <v>4</v>
      </c>
      <c r="R11" s="75" t="s">
        <v>2</v>
      </c>
      <c r="S11" s="75" t="s">
        <v>1</v>
      </c>
      <c r="T11" s="75" t="s">
        <v>4</v>
      </c>
      <c r="U11" s="67"/>
      <c r="V11" s="75"/>
      <c r="W11" s="75"/>
      <c r="X11" s="75"/>
      <c r="Y11" s="75"/>
      <c r="Z11" s="75"/>
      <c r="AA11" s="67"/>
      <c r="AB11" s="75"/>
    </row>
    <row r="12" spans="1:30" s="2" customFormat="1" ht="12.75" customHeight="1" x14ac:dyDescent="0.2">
      <c r="A12" s="67"/>
      <c r="B12" s="76">
        <v>200</v>
      </c>
      <c r="C12" s="77" t="s">
        <v>28</v>
      </c>
      <c r="D12" s="77"/>
      <c r="E12" s="77"/>
      <c r="F12" s="78">
        <f ca="1">INDEX(Summary!$F$11:$J$38,MATCH($D$5&amp;F$11,Summary!$D$11:$D$38,0), MATCH(Output!F$10, Summary!$F$10:$J$10,0))/1000</f>
        <v>6470.7540195395995</v>
      </c>
      <c r="G12" s="78">
        <f ca="1">INDEX(Summary!$F$11:$J$38,MATCH($D$5&amp;G$11,Summary!$D$11:$D$38,0), MATCH(Output!G$10, Summary!$F$10:$J$10,0))/1000</f>
        <v>383.90316400705484</v>
      </c>
      <c r="H12" s="78">
        <f ca="1">INDEX(Summary!$F$11:$J$38,MATCH($D$5&amp;H$11,Summary!$D$11:$D$38,0), MATCH(Output!H$10, Summary!$F$10:$J$10,0))/1000</f>
        <v>648.13444516501386</v>
      </c>
      <c r="I12" s="78">
        <f ca="1">INDEX(Summary!$F$11:$J$38,MATCH($D$5&amp;I$11,Summary!$D$11:$D$38,0), MATCH(Output!I$10, Summary!$F$10:$J$10,0))/1000</f>
        <v>5823.6786175856396</v>
      </c>
      <c r="J12" s="78">
        <f ca="1">INDEX(Summary!$F$11:$J$38,MATCH($D$5&amp;J$11,Summary!$D$11:$D$38,0), MATCH(Output!J$10, Summary!$F$10:$J$10,0))/1000</f>
        <v>529.52160552697205</v>
      </c>
      <c r="K12" s="78">
        <f ca="1">INDEX(Summary!$F$11:$J$38,MATCH($D$5&amp;K$11,Summary!$D$11:$D$38,0), MATCH(Output!K$10, Summary!$F$10:$J$10,0))/1000</f>
        <v>685.20095755190198</v>
      </c>
      <c r="L12" s="78">
        <f ca="1">INDEX(Summary!$F$11:$J$38,MATCH($D$5&amp;L$11,Summary!$D$11:$D$38,0), MATCH(Output!L$10, Summary!$F$10:$J$10,0))/1000</f>
        <v>1617.6885048848999</v>
      </c>
      <c r="M12" s="78">
        <f ca="1">INDEX(Summary!$F$11:$J$38,MATCH($D$5&amp;M$11,Summary!$D$11:$D$38,0), MATCH(Output!M$10, Summary!$F$10:$J$10,0))/1000</f>
        <v>79.428240829045819</v>
      </c>
      <c r="N12" s="78">
        <f ca="1">INDEX(Summary!$F$11:$J$38,MATCH($D$5&amp;N$11,Summary!$D$11:$D$38,0), MATCH(Output!N$10, Summary!$F$10:$J$10,0))/1000</f>
        <v>238.28472248713746</v>
      </c>
      <c r="O12" s="78">
        <f ca="1">INDEX(Summary!$F$11:$J$38,MATCH($D$5&amp;O$11,Summary!$D$11:$D$38,0), MATCH(Output!O$10, Summary!$F$10:$J$10,0))/1000</f>
        <v>4529.5278136777197</v>
      </c>
      <c r="P12" s="78">
        <f ca="1">INDEX(Summary!$F$11:$J$38,MATCH($D$5&amp;P$11,Summary!$D$11:$D$38,0), MATCH(Output!P$10, Summary!$F$10:$J$10,0))/1000</f>
        <v>608.94984635601793</v>
      </c>
      <c r="Q12" s="78">
        <f ca="1">INDEX(Summary!$F$11:$J$38,MATCH($D$5&amp;Q$11,Summary!$D$11:$D$38,0), MATCH(Output!Q$10, Summary!$F$10:$J$10,0))/1000</f>
        <v>552.82055617015885</v>
      </c>
      <c r="R12" s="78">
        <f ca="1">INDEX(Summary!$F$11:$J$38,MATCH($D$5&amp;R$11,Summary!$D$11:$D$38,0), MATCH(Output!R$10, Summary!$F$10:$J$10,0))/1000</f>
        <v>4594.2353538731159</v>
      </c>
      <c r="S12" s="78">
        <f ca="1">INDEX(Summary!$F$11:$J$38,MATCH($D$5&amp;S$11,Summary!$D$11:$D$38,0), MATCH(Output!S$10, Summary!$F$10:$J$10,0))/1000</f>
        <v>781.04436815228394</v>
      </c>
      <c r="T12" s="78">
        <f ca="1">INDEX(Summary!$F$11:$J$38,MATCH($D$5&amp;T$11,Summary!$D$11:$D$38,0), MATCH(Output!T$10, Summary!$F$10:$J$10,0))/1000</f>
        <v>886.41916765215126</v>
      </c>
      <c r="U12" s="67"/>
      <c r="V12" s="78">
        <f ca="1">SUMIF($F$10:$T$10,V$10,$F12:$T12)</f>
        <v>7502.7916287116686</v>
      </c>
      <c r="W12" s="78">
        <f ca="1">SUMIF($F$10:$T$10,W$10,$F12:$T12)</f>
        <v>7038.401180664514</v>
      </c>
      <c r="X12" s="78">
        <f ca="1">SUMIF($F$10:$T$10,X$10,$F12:$T12)</f>
        <v>1935.4014682010832</v>
      </c>
      <c r="Y12" s="78">
        <f ca="1">SUMIF($F$10:$T$10,Y$10,$F12:$T12)</f>
        <v>5691.2982162038961</v>
      </c>
      <c r="Z12" s="78">
        <f ca="1">SUMIF($F$10:$T$10,Z$10,$F12:$T12)</f>
        <v>6261.6988896775511</v>
      </c>
      <c r="AA12" s="67"/>
      <c r="AB12" s="78">
        <f ca="1">SUM(V12:Z12)</f>
        <v>28429.591383458712</v>
      </c>
    </row>
    <row r="13" spans="1:30" s="2" customFormat="1" ht="12.75" customHeight="1" x14ac:dyDescent="0.2">
      <c r="A13" s="67"/>
      <c r="B13" s="76"/>
      <c r="C13" s="77"/>
      <c r="D13" s="77"/>
      <c r="E13" s="77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67"/>
      <c r="V13" s="78"/>
      <c r="W13" s="78"/>
      <c r="X13" s="78"/>
      <c r="Y13" s="78"/>
      <c r="Z13" s="78"/>
      <c r="AA13" s="67"/>
      <c r="AB13" s="78"/>
      <c r="AD13" s="79"/>
    </row>
  </sheetData>
  <conditionalFormatting sqref="D6">
    <cfRule type="expression" dxfId="5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Q29"/>
  <sheetViews>
    <sheetView showGridLines="0" zoomScale="85" zoomScaleNormal="85" workbookViewId="0"/>
  </sheetViews>
  <sheetFormatPr defaultColWidth="9.140625" defaultRowHeight="12.75" x14ac:dyDescent="0.2"/>
  <cols>
    <col min="1" max="1" width="4.28515625" style="1" customWidth="1"/>
    <col min="2" max="2" width="10.7109375" style="1" customWidth="1"/>
    <col min="3" max="3" width="15.28515625" style="1" customWidth="1"/>
    <col min="4" max="4" width="13.85546875" style="100" customWidth="1"/>
    <col min="5" max="5" width="2.85546875" style="1" customWidth="1"/>
    <col min="6" max="10" width="12.42578125" style="1" customWidth="1"/>
    <col min="11" max="11" width="10.28515625" style="1" bestFit="1" customWidth="1"/>
    <col min="12" max="12" width="11.28515625" style="1" bestFit="1" customWidth="1"/>
    <col min="13" max="16384" width="9.140625" style="1"/>
  </cols>
  <sheetData>
    <row r="1" spans="1:17" ht="21" x14ac:dyDescent="0.35">
      <c r="A1" s="18" t="str">
        <f>Assumptions!A1</f>
        <v>Network Management</v>
      </c>
      <c r="B1" s="18"/>
      <c r="C1" s="15"/>
      <c r="D1" s="15"/>
      <c r="E1" s="15"/>
      <c r="F1" s="15"/>
      <c r="G1" s="15"/>
      <c r="H1" s="15"/>
      <c r="I1" s="15"/>
      <c r="J1" s="15"/>
    </row>
    <row r="2" spans="1:17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5"/>
      <c r="I2" s="15"/>
      <c r="J2" s="15"/>
    </row>
    <row r="3" spans="1:17" s="22" customFormat="1" ht="15.75" x14ac:dyDescent="0.25">
      <c r="A3" s="37" t="s">
        <v>49</v>
      </c>
      <c r="B3" s="35"/>
      <c r="C3" s="36"/>
      <c r="D3" s="36"/>
      <c r="E3" s="36"/>
      <c r="F3" s="36"/>
      <c r="G3" s="36"/>
      <c r="H3" s="36"/>
      <c r="I3" s="36"/>
      <c r="J3" s="36"/>
      <c r="K3" s="1"/>
    </row>
    <row r="4" spans="1:17" ht="12.75" customHeight="1" x14ac:dyDescent="0.25">
      <c r="E4" s="3"/>
      <c r="O4"/>
    </row>
    <row r="5" spans="1:17" s="2" customFormat="1" ht="12.75" customHeight="1" x14ac:dyDescent="0.25">
      <c r="B5" s="19"/>
      <c r="C5" s="20"/>
      <c r="D5" s="20"/>
      <c r="E5" s="20"/>
      <c r="F5" s="20"/>
      <c r="G5" s="20"/>
      <c r="H5" s="20"/>
      <c r="I5" s="20"/>
      <c r="J5" s="20"/>
    </row>
    <row r="6" spans="1:17" ht="12.75" customHeight="1" x14ac:dyDescent="0.25">
      <c r="B6" s="42" t="s">
        <v>22</v>
      </c>
      <c r="D6" s="43" t="s">
        <v>29</v>
      </c>
      <c r="E6" s="3"/>
      <c r="O6"/>
    </row>
    <row r="7" spans="1:17" ht="12.75" customHeight="1" x14ac:dyDescent="0.25">
      <c r="B7" s="119" t="s">
        <v>40</v>
      </c>
      <c r="D7" s="118" t="b">
        <f>Output!D6</f>
        <v>1</v>
      </c>
      <c r="E7" s="3"/>
      <c r="O7"/>
    </row>
    <row r="8" spans="1:17" ht="12.75" customHeight="1" x14ac:dyDescent="0.25">
      <c r="E8" s="3"/>
      <c r="O8"/>
    </row>
    <row r="9" spans="1:17" ht="12.75" customHeight="1" x14ac:dyDescent="0.25">
      <c r="E9" s="3"/>
      <c r="O9"/>
    </row>
    <row r="10" spans="1:17" ht="12.75" customHeight="1" x14ac:dyDescent="0.25">
      <c r="B10" s="82" t="s">
        <v>29</v>
      </c>
      <c r="C10" s="82" t="s">
        <v>9</v>
      </c>
      <c r="D10" s="82"/>
      <c r="E10" s="83"/>
      <c r="F10" s="84" t="s">
        <v>16</v>
      </c>
      <c r="G10" s="84" t="s">
        <v>17</v>
      </c>
      <c r="H10" s="84" t="s">
        <v>18</v>
      </c>
      <c r="I10" s="84" t="s">
        <v>19</v>
      </c>
      <c r="J10" s="84" t="s">
        <v>20</v>
      </c>
      <c r="O10"/>
    </row>
    <row r="11" spans="1:17" ht="12.75" customHeight="1" x14ac:dyDescent="0.25">
      <c r="C11" s="1" t="s">
        <v>2</v>
      </c>
      <c r="D11" s="121" t="str">
        <f>B10&amp;C11</f>
        <v>Option 1Labour</v>
      </c>
      <c r="E11" s="3"/>
      <c r="F11" s="9">
        <f t="shared" ref="F11:J13" ca="1" si="0">SUMIF(INDIRECT(LEFT($D11,6)&amp;MID($D11,8,1)&amp;"_categories"),$C11,INDEX(INDIRECT(LEFT($D11,6)&amp;MID($D11,8,1)&amp;"_costs"),,MATCH(F$10,years,0)))*Conv_2021</f>
        <v>6470754.0195395993</v>
      </c>
      <c r="G11" s="9">
        <f t="shared" ca="1" si="0"/>
        <v>5823678.6175856395</v>
      </c>
      <c r="H11" s="9">
        <f t="shared" ca="1" si="0"/>
        <v>1617688.5048848998</v>
      </c>
      <c r="I11" s="9">
        <f t="shared" ca="1" si="0"/>
        <v>4529527.8136777198</v>
      </c>
      <c r="J11" s="9">
        <f t="shared" ca="1" si="0"/>
        <v>4594235.353873116</v>
      </c>
      <c r="O11"/>
    </row>
    <row r="12" spans="1:17" ht="12.75" customHeight="1" x14ac:dyDescent="0.25">
      <c r="C12" s="1" t="s">
        <v>1</v>
      </c>
      <c r="D12" s="121" t="str">
        <f>B10&amp;C12</f>
        <v>Option 1Materials</v>
      </c>
      <c r="E12" s="3"/>
      <c r="F12" s="9">
        <f t="shared" ca="1" si="0"/>
        <v>383903.16400705482</v>
      </c>
      <c r="G12" s="9">
        <f t="shared" ca="1" si="0"/>
        <v>529521.6055269721</v>
      </c>
      <c r="H12" s="9">
        <f t="shared" ca="1" si="0"/>
        <v>79428.240829045826</v>
      </c>
      <c r="I12" s="9">
        <f t="shared" ca="1" si="0"/>
        <v>608949.84635601798</v>
      </c>
      <c r="J12" s="9">
        <f t="shared" ca="1" si="0"/>
        <v>781044.36815228395</v>
      </c>
      <c r="O12"/>
    </row>
    <row r="13" spans="1:17" ht="12.75" customHeight="1" x14ac:dyDescent="0.2">
      <c r="C13" s="1" t="s">
        <v>4</v>
      </c>
      <c r="D13" s="121" t="str">
        <f>B10&amp;C13</f>
        <v>Option 1Contracts</v>
      </c>
      <c r="F13" s="9">
        <f t="shared" ca="1" si="0"/>
        <v>648134.44516501389</v>
      </c>
      <c r="G13" s="9">
        <f t="shared" ca="1" si="0"/>
        <v>685200.95755190193</v>
      </c>
      <c r="H13" s="9">
        <f t="shared" ca="1" si="0"/>
        <v>238284.72248713745</v>
      </c>
      <c r="I13" s="9">
        <f t="shared" ca="1" si="0"/>
        <v>552820.5561701589</v>
      </c>
      <c r="J13" s="9">
        <f t="shared" ca="1" si="0"/>
        <v>886419.16765215131</v>
      </c>
    </row>
    <row r="14" spans="1:17" ht="12.75" customHeight="1" x14ac:dyDescent="0.2">
      <c r="B14" s="100"/>
      <c r="C14" s="25" t="s">
        <v>50</v>
      </c>
      <c r="D14" s="25"/>
      <c r="E14" s="25"/>
      <c r="F14" s="26">
        <f ca="1">SUM(F11:F13)</f>
        <v>7502791.6287116678</v>
      </c>
      <c r="G14" s="26">
        <f ca="1">SUM(G11:G13)</f>
        <v>7038401.1806645133</v>
      </c>
      <c r="H14" s="26">
        <f ca="1">SUM(H11:H13)</f>
        <v>1935401.4682010831</v>
      </c>
      <c r="I14" s="26">
        <f ca="1">SUM(I11:I13)</f>
        <v>5691298.2162038973</v>
      </c>
      <c r="J14" s="26">
        <f ca="1">SUM(J11:J13)</f>
        <v>6261698.8896775516</v>
      </c>
      <c r="K14" s="44"/>
      <c r="L14" s="2"/>
      <c r="M14" s="2"/>
      <c r="N14" s="2"/>
      <c r="O14" s="2"/>
      <c r="P14" s="2"/>
      <c r="Q14" s="2"/>
    </row>
    <row r="15" spans="1:17" ht="12.75" customHeight="1" x14ac:dyDescent="0.2">
      <c r="B15" s="100"/>
      <c r="C15" s="7"/>
      <c r="D15" s="7"/>
      <c r="E15" s="7"/>
      <c r="F15" s="81"/>
      <c r="G15" s="81"/>
      <c r="H15" s="81"/>
      <c r="I15" s="81"/>
      <c r="J15" s="81"/>
    </row>
    <row r="16" spans="1:17" ht="12.75" customHeight="1" x14ac:dyDescent="0.2">
      <c r="C16" s="126" t="s">
        <v>65</v>
      </c>
      <c r="D16" s="26"/>
      <c r="E16" s="26"/>
      <c r="F16" s="26">
        <f ca="1">NPV(Assumptions!$B$6,F14:J14)</f>
        <v>26326269.830384355</v>
      </c>
      <c r="G16" s="81"/>
      <c r="H16" s="81"/>
      <c r="I16" s="81"/>
      <c r="J16" s="81"/>
    </row>
    <row r="17" spans="2:12" ht="12.75" customHeight="1" x14ac:dyDescent="0.2">
      <c r="C17" s="41"/>
      <c r="D17" s="41"/>
      <c r="E17" s="7"/>
      <c r="F17" s="81"/>
      <c r="G17" s="81"/>
      <c r="H17" s="81"/>
      <c r="I17" s="81"/>
      <c r="J17" s="81"/>
    </row>
    <row r="18" spans="2:12" ht="12.75" customHeight="1" x14ac:dyDescent="0.2">
      <c r="B18" s="7"/>
      <c r="C18" s="7"/>
      <c r="D18" s="7"/>
      <c r="E18" s="7"/>
      <c r="F18" s="27"/>
      <c r="G18" s="27"/>
      <c r="H18" s="27"/>
      <c r="I18" s="27"/>
      <c r="J18" s="27"/>
    </row>
    <row r="19" spans="2:12" ht="12.75" customHeight="1" x14ac:dyDescent="0.2">
      <c r="B19" s="82" t="s">
        <v>21</v>
      </c>
      <c r="C19" s="82" t="s">
        <v>9</v>
      </c>
      <c r="D19" s="82"/>
      <c r="E19" s="83"/>
      <c r="F19" s="84" t="str">
        <f>F$10</f>
        <v>2021/22</v>
      </c>
      <c r="G19" s="84" t="str">
        <f t="shared" ref="G19:J19" si="1">G$10</f>
        <v>2022/23</v>
      </c>
      <c r="H19" s="84" t="str">
        <f t="shared" si="1"/>
        <v>2023/24</v>
      </c>
      <c r="I19" s="84" t="str">
        <f t="shared" si="1"/>
        <v>2024/25</v>
      </c>
      <c r="J19" s="84" t="str">
        <f t="shared" si="1"/>
        <v>2025/26</v>
      </c>
    </row>
    <row r="20" spans="2:12" ht="12.75" customHeight="1" x14ac:dyDescent="0.2">
      <c r="C20" s="1" t="s">
        <v>2</v>
      </c>
      <c r="D20" s="121" t="str">
        <f>B19&amp;C20</f>
        <v>Option 2Labour</v>
      </c>
      <c r="E20" s="3"/>
      <c r="F20" s="9">
        <f t="shared" ref="F20:J22" ca="1" si="2">SUMIF(INDIRECT(LEFT($D20,6)&amp;MID($D20,8,1)&amp;"_categories"),$C20,INDEX(INDIRECT(LEFT($D20,6)&amp;MID($D20,8,1)&amp;"_costs"),,MATCH(F$10,years,0)))*Conv_2021</f>
        <v>1942358.5878152994</v>
      </c>
      <c r="G20" s="9">
        <f t="shared" ca="1" si="2"/>
        <v>1617688.5048848998</v>
      </c>
      <c r="H20" s="9">
        <f t="shared" ca="1" si="2"/>
        <v>5711249.2664961386</v>
      </c>
      <c r="I20" s="9">
        <f t="shared" ca="1" si="2"/>
        <v>8252799.6765208049</v>
      </c>
      <c r="J20" s="9">
        <f t="shared" ca="1" si="2"/>
        <v>2577624.8636835995</v>
      </c>
    </row>
    <row r="21" spans="2:12" x14ac:dyDescent="0.2">
      <c r="C21" s="1" t="s">
        <v>1</v>
      </c>
      <c r="D21" s="121" t="str">
        <f>B19&amp;C21</f>
        <v>Option 2Materials</v>
      </c>
      <c r="E21" s="3"/>
      <c r="F21" s="9">
        <f t="shared" ca="1" si="2"/>
        <v>1101404.939496102</v>
      </c>
      <c r="G21" s="9">
        <f t="shared" ca="1" si="2"/>
        <v>211808.64221078885</v>
      </c>
      <c r="H21" s="9">
        <f t="shared" ca="1" si="2"/>
        <v>4871598.7708481438</v>
      </c>
      <c r="I21" s="9">
        <f t="shared" ca="1" si="2"/>
        <v>8260537.0462207654</v>
      </c>
      <c r="J21" s="9">
        <f t="shared" ca="1" si="2"/>
        <v>2584065.4349716241</v>
      </c>
    </row>
    <row r="22" spans="2:12" x14ac:dyDescent="0.2">
      <c r="C22" s="1" t="s">
        <v>4</v>
      </c>
      <c r="D22" s="121" t="str">
        <f>B19&amp;C22</f>
        <v>Option 2Contracts</v>
      </c>
      <c r="F22" s="9">
        <f t="shared" ca="1" si="2"/>
        <v>550702.46974805102</v>
      </c>
      <c r="G22" s="9">
        <f t="shared" ca="1" si="2"/>
        <v>1800373.4587917053</v>
      </c>
      <c r="H22" s="9">
        <f t="shared" ca="1" si="2"/>
        <v>2435799.3854240719</v>
      </c>
      <c r="I22" s="9">
        <f t="shared" ca="1" si="2"/>
        <v>4130268.5231103827</v>
      </c>
      <c r="J22" s="9">
        <f t="shared" ca="1" si="2"/>
        <v>1292032.717485812</v>
      </c>
    </row>
    <row r="23" spans="2:12" x14ac:dyDescent="0.2">
      <c r="B23" s="100"/>
      <c r="C23" s="25" t="s">
        <v>50</v>
      </c>
      <c r="D23" s="25"/>
      <c r="E23" s="25"/>
      <c r="F23" s="26">
        <f ca="1">SUM(F20:F22)</f>
        <v>3594465.9970594523</v>
      </c>
      <c r="G23" s="26">
        <f ca="1">SUM(G20:G22)</f>
        <v>3629870.6058873939</v>
      </c>
      <c r="H23" s="26">
        <f ca="1">SUM(H20:H22)</f>
        <v>13018647.422768354</v>
      </c>
      <c r="I23" s="26">
        <f ca="1">SUM(I20:I22)</f>
        <v>20643605.245851953</v>
      </c>
      <c r="J23" s="26">
        <f ca="1">SUM(J20:J22)</f>
        <v>6453723.0161410347</v>
      </c>
      <c r="L23" s="2"/>
    </row>
    <row r="24" spans="2:12" x14ac:dyDescent="0.2">
      <c r="B24" s="100"/>
    </row>
    <row r="25" spans="2:12" x14ac:dyDescent="0.2">
      <c r="C25" s="126" t="s">
        <v>65</v>
      </c>
      <c r="D25" s="26"/>
      <c r="E25" s="26"/>
      <c r="F25" s="26">
        <f ca="1">NPV(Assumptions!$B$6,F23:J23)</f>
        <v>43093345.315527223</v>
      </c>
    </row>
    <row r="26" spans="2:12" x14ac:dyDescent="0.2">
      <c r="B26" s="32"/>
      <c r="C26" s="41"/>
      <c r="D26" s="41"/>
      <c r="E26" s="32"/>
      <c r="F26" s="32"/>
      <c r="G26" s="32"/>
      <c r="H26" s="32"/>
      <c r="I26" s="32"/>
      <c r="J26" s="32"/>
    </row>
    <row r="28" spans="2:12" x14ac:dyDescent="0.2">
      <c r="B28" s="100"/>
    </row>
    <row r="29" spans="2:12" x14ac:dyDescent="0.2">
      <c r="B29" s="32"/>
      <c r="C29" s="41"/>
      <c r="D29" s="41"/>
      <c r="E29" s="32"/>
      <c r="F29" s="32"/>
      <c r="G29" s="32"/>
      <c r="H29" s="32"/>
      <c r="I29" s="32"/>
      <c r="J29" s="32"/>
    </row>
  </sheetData>
  <conditionalFormatting sqref="D7">
    <cfRule type="expression" dxfId="4" priority="1">
      <formula>D7&lt;&gt;TRUE</formula>
    </cfRule>
  </conditionalFormatting>
  <pageMargins left="0.70866141732283472" right="0.70866141732283472" top="0.74803149606299213" bottom="0.74803149606299213" header="0.31496062992125984" footer="0.31496062992125984"/>
  <pageSetup paperSize="9" scale="83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Assumptions!$A$23:$A$26</xm:f>
          </x14:formula1>
          <xm:sqref>D6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499984740745262"/>
    <outlinePr summaryBelow="0" summaryRight="0"/>
  </sheetPr>
  <dimension ref="A1:AI104"/>
  <sheetViews>
    <sheetView showGridLines="0" zoomScale="85" zoomScaleNormal="85" workbookViewId="0"/>
  </sheetViews>
  <sheetFormatPr defaultColWidth="14.42578125" defaultRowHeight="15" customHeight="1" x14ac:dyDescent="0.25"/>
  <cols>
    <col min="1" max="1" width="21.5703125" customWidth="1"/>
    <col min="2" max="2" width="13.85546875" customWidth="1"/>
    <col min="4" max="4" width="13.42578125" customWidth="1"/>
    <col min="5" max="5" width="14.42578125" customWidth="1"/>
  </cols>
  <sheetData>
    <row r="1" spans="1:35" ht="21" x14ac:dyDescent="0.35">
      <c r="A1" s="18" t="s">
        <v>52</v>
      </c>
      <c r="B1" s="18"/>
      <c r="C1" s="18"/>
      <c r="D1" s="18"/>
      <c r="E1" s="18"/>
      <c r="F1" s="18"/>
      <c r="G1" s="18"/>
      <c r="H1" s="18"/>
      <c r="I1" s="18"/>
      <c r="J1" s="18"/>
    </row>
    <row r="2" spans="1:35" ht="15.75" x14ac:dyDescent="0.25">
      <c r="A2" s="17" t="s">
        <v>0</v>
      </c>
      <c r="B2" s="17"/>
      <c r="C2" s="17"/>
      <c r="D2" s="17"/>
      <c r="E2" s="17"/>
      <c r="F2" s="17"/>
      <c r="G2" s="17"/>
      <c r="H2" s="17"/>
      <c r="I2" s="17"/>
      <c r="J2" s="17"/>
    </row>
    <row r="3" spans="1:35" s="22" customFormat="1" ht="12.75" customHeight="1" x14ac:dyDescent="0.25">
      <c r="A3" s="37" t="s">
        <v>3</v>
      </c>
      <c r="B3" s="35"/>
      <c r="C3" s="35"/>
      <c r="D3" s="35"/>
      <c r="E3" s="35"/>
      <c r="F3" s="35"/>
      <c r="G3" s="35"/>
      <c r="H3" s="35"/>
      <c r="I3" s="35"/>
      <c r="J3" s="35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</row>
    <row r="4" spans="1:35" s="34" customFormat="1" ht="12.75" customHeight="1" x14ac:dyDescent="0.25">
      <c r="A4" s="33" t="s">
        <v>8</v>
      </c>
      <c r="B4" s="97" t="s">
        <v>3</v>
      </c>
      <c r="C4" s="33" t="s">
        <v>6</v>
      </c>
      <c r="D4" s="33" t="s">
        <v>7</v>
      </c>
    </row>
    <row r="5" spans="1:35" s="34" customFormat="1" ht="12.75" customHeight="1" x14ac:dyDescent="0.25">
      <c r="A5" s="33"/>
      <c r="B5" s="97"/>
      <c r="C5" s="33"/>
      <c r="D5" s="33"/>
    </row>
    <row r="6" spans="1:35" s="34" customFormat="1" ht="12.75" customHeight="1" x14ac:dyDescent="0.25">
      <c r="A6" s="2" t="s">
        <v>14</v>
      </c>
      <c r="B6" s="105">
        <v>2.75E-2</v>
      </c>
      <c r="C6" s="2"/>
      <c r="D6" s="33"/>
    </row>
    <row r="7" spans="1:35" s="34" customFormat="1" ht="12.75" customHeight="1" x14ac:dyDescent="0.25">
      <c r="A7" s="33"/>
      <c r="B7" s="97"/>
      <c r="C7" s="33"/>
      <c r="D7" s="33"/>
    </row>
    <row r="8" spans="1:35" s="34" customFormat="1" ht="12.75" customHeight="1" x14ac:dyDescent="0.25">
      <c r="A8" s="99" t="s">
        <v>35</v>
      </c>
      <c r="B8" s="107">
        <v>2018</v>
      </c>
      <c r="C8" t="s">
        <v>38</v>
      </c>
      <c r="D8" s="33"/>
    </row>
    <row r="9" spans="1:35" s="34" customFormat="1" ht="12.75" customHeight="1" x14ac:dyDescent="0.25">
      <c r="A9" s="99"/>
      <c r="B9" s="99"/>
      <c r="C9" s="99"/>
      <c r="D9" s="99"/>
      <c r="E9" s="99"/>
    </row>
    <row r="10" spans="1:35" ht="12.75" customHeight="1" x14ac:dyDescent="0.25">
      <c r="A10" s="85"/>
      <c r="B10" s="85"/>
      <c r="C10" s="85"/>
      <c r="D10" s="85">
        <v>2015</v>
      </c>
      <c r="E10" s="85">
        <v>2016</v>
      </c>
      <c r="F10" s="85">
        <v>2017</v>
      </c>
      <c r="G10" s="85">
        <v>2018</v>
      </c>
      <c r="H10" s="85">
        <v>2019</v>
      </c>
      <c r="I10" s="86">
        <v>2020</v>
      </c>
      <c r="J10" s="86" t="s">
        <v>36</v>
      </c>
    </row>
    <row r="11" spans="1:35" ht="12.75" customHeight="1" x14ac:dyDescent="0.25">
      <c r="A11" s="129" t="s">
        <v>66</v>
      </c>
      <c r="B11" s="28"/>
      <c r="C11" s="103"/>
      <c r="D11" s="130" t="s">
        <v>69</v>
      </c>
      <c r="E11" s="130" t="s">
        <v>69</v>
      </c>
      <c r="F11" s="130" t="s">
        <v>69</v>
      </c>
      <c r="G11" s="130" t="s">
        <v>69</v>
      </c>
      <c r="H11" s="130" t="s">
        <v>69</v>
      </c>
      <c r="I11" s="130" t="s">
        <v>69</v>
      </c>
      <c r="J11" s="130" t="s">
        <v>70</v>
      </c>
    </row>
    <row r="12" spans="1:35" ht="12.75" customHeight="1" x14ac:dyDescent="0.25">
      <c r="A12" s="131" t="s">
        <v>67</v>
      </c>
      <c r="B12" s="4"/>
      <c r="C12" s="131"/>
      <c r="D12" s="132" t="s">
        <v>30</v>
      </c>
      <c r="E12" s="132" t="s">
        <v>30</v>
      </c>
      <c r="F12" s="132" t="s">
        <v>30</v>
      </c>
      <c r="G12" s="132" t="s">
        <v>30</v>
      </c>
      <c r="H12" s="132" t="s">
        <v>30</v>
      </c>
      <c r="I12" s="133" t="s">
        <v>31</v>
      </c>
      <c r="J12" s="133" t="s">
        <v>31</v>
      </c>
    </row>
    <row r="13" spans="1:35" ht="12.75" customHeight="1" x14ac:dyDescent="0.25">
      <c r="A13" s="100" t="s">
        <v>68</v>
      </c>
      <c r="B13" s="100"/>
      <c r="C13" s="87"/>
      <c r="D13" s="88"/>
      <c r="E13" s="105">
        <v>1.0232558139534831E-2</v>
      </c>
      <c r="F13" s="105">
        <v>1.9337016574585641E-2</v>
      </c>
      <c r="G13" s="105">
        <v>2.0776874435411097E-2</v>
      </c>
      <c r="H13" s="105">
        <v>1.5929203539823078E-2</v>
      </c>
      <c r="I13" s="105">
        <v>2.000000000000024E-2</v>
      </c>
      <c r="J13" s="105">
        <v>2.1998043050963867E-2</v>
      </c>
    </row>
    <row r="14" spans="1:35" ht="12.75" customHeight="1" x14ac:dyDescent="0.25">
      <c r="A14" s="94" t="s">
        <v>32</v>
      </c>
      <c r="B14" s="92"/>
      <c r="C14" s="92"/>
      <c r="D14" s="106">
        <v>1</v>
      </c>
      <c r="E14" s="95">
        <f t="shared" ref="E14:J14" si="0">D14*(1+E13)</f>
        <v>1.0102325581395348</v>
      </c>
      <c r="F14" s="95">
        <f t="shared" si="0"/>
        <v>1.029767441860465</v>
      </c>
      <c r="G14" s="95">
        <f t="shared" si="0"/>
        <v>1.0511627906976744</v>
      </c>
      <c r="H14" s="95">
        <f t="shared" si="0"/>
        <v>1.067906976744186</v>
      </c>
      <c r="I14" s="95">
        <f t="shared" si="0"/>
        <v>1.0892651162790701</v>
      </c>
      <c r="J14" s="95">
        <f t="shared" si="0"/>
        <v>1.1132268172008901</v>
      </c>
    </row>
    <row r="15" spans="1:35" ht="12.75" customHeight="1" x14ac:dyDescent="0.25">
      <c r="A15" s="92"/>
      <c r="B15" s="92"/>
      <c r="C15" s="92"/>
      <c r="D15" s="93"/>
      <c r="E15" s="93"/>
      <c r="F15" s="93"/>
      <c r="G15" s="93"/>
      <c r="H15" s="93"/>
    </row>
    <row r="16" spans="1:35" ht="12.75" customHeight="1" x14ac:dyDescent="0.25">
      <c r="A16" s="99" t="s">
        <v>37</v>
      </c>
      <c r="B16" s="98">
        <f>B8</f>
        <v>2018</v>
      </c>
      <c r="C16" s="100" t="s">
        <v>38</v>
      </c>
      <c r="G16" s="89"/>
      <c r="H16" s="89"/>
    </row>
    <row r="17" spans="1:8" ht="12.75" customHeight="1" x14ac:dyDescent="0.25">
      <c r="A17" s="99" t="s">
        <v>34</v>
      </c>
      <c r="B17" s="104" t="s">
        <v>36</v>
      </c>
      <c r="C17" s="100" t="s">
        <v>39</v>
      </c>
      <c r="G17" s="89"/>
      <c r="H17" s="89"/>
    </row>
    <row r="18" spans="1:8" ht="12.75" customHeight="1" x14ac:dyDescent="0.25">
      <c r="A18" s="99" t="s">
        <v>33</v>
      </c>
      <c r="B18" s="96">
        <f>INDEX($D$14:$J$14, MATCH(B17, $D$10:$J$10,0))/INDEX($D$14:$J$14, MATCH(B16, $D$10:$J$10,0))</f>
        <v>1.0590432110539443</v>
      </c>
      <c r="C18" s="117"/>
      <c r="D18" s="90"/>
      <c r="E18" s="87"/>
      <c r="F18" s="87"/>
      <c r="G18" s="87"/>
      <c r="H18" s="87"/>
    </row>
    <row r="19" spans="1:8" ht="12.75" customHeight="1" x14ac:dyDescent="0.25">
      <c r="A19" s="89"/>
      <c r="B19" s="91"/>
      <c r="C19" s="91"/>
      <c r="D19" s="91"/>
      <c r="E19" s="91"/>
      <c r="F19" s="91"/>
      <c r="G19" s="91"/>
      <c r="H19" s="89"/>
    </row>
    <row r="20" spans="1:8" ht="12.75" customHeight="1" x14ac:dyDescent="0.25"/>
    <row r="21" spans="1:8" ht="12.75" customHeight="1" x14ac:dyDescent="0.25"/>
    <row r="22" spans="1:8" ht="12.75" customHeight="1" x14ac:dyDescent="0.25">
      <c r="A22" s="124" t="s">
        <v>51</v>
      </c>
    </row>
    <row r="23" spans="1:8" ht="12.75" customHeight="1" x14ac:dyDescent="0.25">
      <c r="A23" s="99" t="str">
        <f>'Option 1'!$A$3</f>
        <v>Option 1</v>
      </c>
    </row>
    <row r="24" spans="1:8" ht="12.75" customHeight="1" x14ac:dyDescent="0.25">
      <c r="A24" s="99" t="str">
        <f>'Option 2'!$A$3</f>
        <v>Option 2</v>
      </c>
    </row>
    <row r="25" spans="1:8" ht="12.75" customHeight="1" x14ac:dyDescent="0.25">
      <c r="A25" s="99"/>
    </row>
    <row r="26" spans="1:8" ht="12.75" customHeight="1" x14ac:dyDescent="0.25"/>
    <row r="27" spans="1:8" ht="12.75" customHeight="1" x14ac:dyDescent="0.25"/>
    <row r="28" spans="1:8" ht="12.75" customHeight="1" x14ac:dyDescent="0.25"/>
    <row r="29" spans="1:8" ht="12.75" customHeight="1" x14ac:dyDescent="0.25"/>
    <row r="30" spans="1:8" ht="12.75" customHeight="1" x14ac:dyDescent="0.25"/>
    <row r="31" spans="1:8" ht="12.75" customHeight="1" x14ac:dyDescent="0.25"/>
    <row r="32" spans="1:8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</sheetData>
  <dataValidations count="1">
    <dataValidation type="list" allowBlank="1" showInputMessage="1" showErrorMessage="1" sqref="B16:B17 B8">
      <formula1>$D$10:$J$10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Y52"/>
  <sheetViews>
    <sheetView showGridLines="0" zoomScale="90" zoomScaleNormal="90" workbookViewId="0"/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45.7109375" style="1" customWidth="1"/>
    <col min="4" max="5" width="11.140625" style="1" customWidth="1"/>
    <col min="6" max="6" width="2.85546875" style="1" customWidth="1"/>
    <col min="7" max="7" width="12.140625" style="1" customWidth="1"/>
    <col min="8" max="8" width="12.7109375" style="12" customWidth="1"/>
    <col min="9" max="9" width="2.85546875" style="1" customWidth="1"/>
    <col min="10" max="14" width="12.140625" style="1" customWidth="1"/>
    <col min="15" max="15" width="2.85546875" style="1" customWidth="1"/>
    <col min="16" max="20" width="12.140625" style="1" customWidth="1"/>
    <col min="21" max="21" width="2.140625" style="1" customWidth="1"/>
    <col min="22" max="16384" width="9.140625" style="1"/>
  </cols>
  <sheetData>
    <row r="1" spans="1:22" ht="21" x14ac:dyDescent="0.35">
      <c r="A1" s="18" t="str">
        <f>Assumptions!A1</f>
        <v>Network Management</v>
      </c>
      <c r="B1" s="18"/>
      <c r="C1" s="15"/>
      <c r="D1" s="15"/>
      <c r="E1" s="15"/>
      <c r="F1" s="15"/>
      <c r="G1" s="15"/>
      <c r="H1" s="16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2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6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2" s="39" customFormat="1" ht="15" x14ac:dyDescent="0.25">
      <c r="A3" s="37" t="s">
        <v>29</v>
      </c>
      <c r="B3" s="37"/>
      <c r="C3" s="37"/>
      <c r="D3" s="37"/>
      <c r="E3" s="37"/>
      <c r="F3" s="37"/>
      <c r="G3" s="37"/>
      <c r="H3" s="38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V3" s="120" t="b">
        <f>SUM(V7:V45)=0</f>
        <v>1</v>
      </c>
    </row>
    <row r="4" spans="1:22" s="2" customFormat="1" ht="12.75" customHeight="1" x14ac:dyDescent="0.25">
      <c r="B4" s="19"/>
      <c r="C4" s="20"/>
      <c r="D4" s="20"/>
      <c r="E4" s="20"/>
      <c r="F4" s="20"/>
      <c r="G4" s="20"/>
      <c r="H4" s="21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</row>
    <row r="5" spans="1:22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1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</row>
    <row r="6" spans="1:22" ht="12.75" customHeight="1" x14ac:dyDescent="0.2">
      <c r="A6" s="7"/>
      <c r="F6" s="20"/>
    </row>
    <row r="7" spans="1:22" ht="12.75" customHeight="1" x14ac:dyDescent="0.2">
      <c r="A7" s="7"/>
      <c r="B7" s="100"/>
      <c r="C7" s="122" t="s">
        <v>46</v>
      </c>
      <c r="D7" s="23" t="s">
        <v>23</v>
      </c>
      <c r="E7" s="23" t="s">
        <v>9</v>
      </c>
      <c r="F7" s="20"/>
      <c r="G7" s="23" t="s">
        <v>15</v>
      </c>
      <c r="H7" s="23" t="s">
        <v>10</v>
      </c>
      <c r="I7" s="100"/>
      <c r="J7" s="23" t="s">
        <v>45</v>
      </c>
      <c r="K7" s="24"/>
      <c r="L7" s="24"/>
      <c r="M7" s="24"/>
      <c r="N7" s="24"/>
      <c r="O7" s="4"/>
      <c r="P7" s="23" t="s">
        <v>11</v>
      </c>
      <c r="Q7" s="24"/>
      <c r="R7" s="24"/>
      <c r="S7" s="24"/>
      <c r="T7" s="24"/>
    </row>
    <row r="8" spans="1:22" s="100" customFormat="1" ht="12.75" customHeight="1" x14ac:dyDescent="0.2">
      <c r="A8" s="7"/>
      <c r="B8" s="7"/>
      <c r="C8" s="7"/>
      <c r="D8" s="7"/>
      <c r="E8" s="7"/>
      <c r="F8" s="20"/>
      <c r="G8" s="7"/>
      <c r="H8" s="7"/>
      <c r="I8" s="4"/>
      <c r="J8" s="123" t="s">
        <v>16</v>
      </c>
      <c r="K8" s="123" t="s">
        <v>17</v>
      </c>
      <c r="L8" s="123" t="s">
        <v>18</v>
      </c>
      <c r="M8" s="123" t="s">
        <v>19</v>
      </c>
      <c r="N8" s="123" t="s">
        <v>20</v>
      </c>
      <c r="O8" s="4"/>
      <c r="P8" s="123" t="s">
        <v>16</v>
      </c>
      <c r="Q8" s="123" t="s">
        <v>17</v>
      </c>
      <c r="R8" s="123" t="s">
        <v>18</v>
      </c>
      <c r="S8" s="123" t="s">
        <v>19</v>
      </c>
      <c r="T8" s="123" t="s">
        <v>20</v>
      </c>
    </row>
    <row r="9" spans="1:22" ht="12.75" customHeight="1" x14ac:dyDescent="0.2">
      <c r="A9" s="100"/>
      <c r="B9" s="100"/>
      <c r="C9" s="4"/>
      <c r="D9" s="4"/>
      <c r="E9" s="4"/>
      <c r="F9" s="20"/>
      <c r="G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</row>
    <row r="10" spans="1:22" ht="12.75" customHeight="1" x14ac:dyDescent="0.2">
      <c r="A10" s="7"/>
      <c r="C10" s="108" t="s">
        <v>53</v>
      </c>
      <c r="D10" s="109" t="s">
        <v>5</v>
      </c>
      <c r="E10" s="110" t="s">
        <v>2</v>
      </c>
      <c r="F10" s="3"/>
      <c r="G10" s="111">
        <v>122.2</v>
      </c>
      <c r="H10" s="12" t="s">
        <v>42</v>
      </c>
      <c r="I10" s="3"/>
      <c r="J10" s="112">
        <v>35000</v>
      </c>
      <c r="K10" s="112">
        <v>20000</v>
      </c>
      <c r="L10" s="112"/>
      <c r="M10" s="112">
        <v>20000</v>
      </c>
      <c r="N10" s="112">
        <v>8000</v>
      </c>
      <c r="O10" s="3"/>
      <c r="P10" s="8">
        <f t="shared" ref="P10" si="0">J10*$G10</f>
        <v>4277000</v>
      </c>
      <c r="Q10" s="8">
        <f t="shared" ref="Q10" si="1">K10*$G10</f>
        <v>2444000</v>
      </c>
      <c r="R10" s="8">
        <f t="shared" ref="R10" si="2">L10*$G10</f>
        <v>0</v>
      </c>
      <c r="S10" s="8">
        <f t="shared" ref="S10" si="3">M10*$G10</f>
        <v>2444000</v>
      </c>
      <c r="T10" s="8">
        <f t="shared" ref="T10" si="4">N10*$G10</f>
        <v>977600</v>
      </c>
    </row>
    <row r="11" spans="1:22" s="100" customFormat="1" ht="12.75" customHeight="1" x14ac:dyDescent="0.2">
      <c r="A11" s="7"/>
      <c r="C11" s="108" t="s">
        <v>54</v>
      </c>
      <c r="D11" s="109" t="s">
        <v>5</v>
      </c>
      <c r="E11" s="110" t="s">
        <v>2</v>
      </c>
      <c r="F11" s="3"/>
      <c r="G11" s="111">
        <v>122.2</v>
      </c>
      <c r="H11" s="12" t="s">
        <v>42</v>
      </c>
      <c r="I11" s="3"/>
      <c r="J11" s="112"/>
      <c r="K11" s="112">
        <v>15000</v>
      </c>
      <c r="L11" s="112"/>
      <c r="M11" s="112"/>
      <c r="N11" s="112">
        <v>15000</v>
      </c>
      <c r="O11" s="3"/>
      <c r="P11" s="8">
        <f t="shared" ref="P11:P17" si="5">J11*$G11</f>
        <v>0</v>
      </c>
      <c r="Q11" s="8">
        <f t="shared" ref="Q11:Q17" si="6">K11*$G11</f>
        <v>1833000</v>
      </c>
      <c r="R11" s="8">
        <f t="shared" ref="R11:R17" si="7">L11*$G11</f>
        <v>0</v>
      </c>
      <c r="S11" s="8">
        <f t="shared" ref="S11:S17" si="8">M11*$G11</f>
        <v>0</v>
      </c>
      <c r="T11" s="8">
        <f t="shared" ref="T11:T17" si="9">N11*$G11</f>
        <v>1833000</v>
      </c>
    </row>
    <row r="12" spans="1:22" s="100" customFormat="1" ht="12.75" customHeight="1" x14ac:dyDescent="0.2">
      <c r="A12" s="7"/>
      <c r="C12" s="108" t="s">
        <v>55</v>
      </c>
      <c r="D12" s="109" t="s">
        <v>5</v>
      </c>
      <c r="E12" s="110" t="s">
        <v>2</v>
      </c>
      <c r="F12" s="3"/>
      <c r="G12" s="111">
        <v>122.2</v>
      </c>
      <c r="H12" s="12" t="s">
        <v>42</v>
      </c>
      <c r="I12" s="3"/>
      <c r="J12" s="112">
        <v>2500</v>
      </c>
      <c r="K12" s="112">
        <v>2500</v>
      </c>
      <c r="L12" s="112"/>
      <c r="M12" s="112">
        <v>2500</v>
      </c>
      <c r="N12" s="112">
        <v>2500</v>
      </c>
      <c r="O12" s="3"/>
      <c r="P12" s="8">
        <f t="shared" si="5"/>
        <v>305500</v>
      </c>
      <c r="Q12" s="8">
        <f t="shared" si="6"/>
        <v>305500</v>
      </c>
      <c r="R12" s="8">
        <f t="shared" si="7"/>
        <v>0</v>
      </c>
      <c r="S12" s="8">
        <f t="shared" si="8"/>
        <v>305500</v>
      </c>
      <c r="T12" s="8">
        <f t="shared" si="9"/>
        <v>305500</v>
      </c>
    </row>
    <row r="13" spans="1:22" s="100" customFormat="1" ht="12.75" customHeight="1" x14ac:dyDescent="0.2">
      <c r="A13" s="7"/>
      <c r="C13" s="108" t="s">
        <v>56</v>
      </c>
      <c r="D13" s="109" t="s">
        <v>5</v>
      </c>
      <c r="E13" s="110" t="s">
        <v>2</v>
      </c>
      <c r="F13" s="3"/>
      <c r="G13" s="111">
        <v>122.2</v>
      </c>
      <c r="H13" s="12" t="s">
        <v>42</v>
      </c>
      <c r="I13" s="3"/>
      <c r="J13" s="112">
        <v>2500</v>
      </c>
      <c r="K13" s="112"/>
      <c r="L13" s="112"/>
      <c r="M13" s="112">
        <v>2500</v>
      </c>
      <c r="N13" s="112"/>
      <c r="O13" s="3"/>
      <c r="P13" s="8">
        <f t="shared" si="5"/>
        <v>305500</v>
      </c>
      <c r="Q13" s="8">
        <f t="shared" si="6"/>
        <v>0</v>
      </c>
      <c r="R13" s="8">
        <f t="shared" si="7"/>
        <v>0</v>
      </c>
      <c r="S13" s="8">
        <f t="shared" si="8"/>
        <v>305500</v>
      </c>
      <c r="T13" s="8">
        <f t="shared" si="9"/>
        <v>0</v>
      </c>
    </row>
    <row r="14" spans="1:22" s="100" customFormat="1" ht="12.75" customHeight="1" x14ac:dyDescent="0.2">
      <c r="A14" s="7"/>
      <c r="C14" s="108" t="s">
        <v>57</v>
      </c>
      <c r="D14" s="109" t="s">
        <v>5</v>
      </c>
      <c r="E14" s="110" t="s">
        <v>2</v>
      </c>
      <c r="F14" s="3"/>
      <c r="G14" s="111">
        <v>122.2</v>
      </c>
      <c r="H14" s="12" t="s">
        <v>42</v>
      </c>
      <c r="I14" s="3"/>
      <c r="J14" s="112">
        <v>6500</v>
      </c>
      <c r="K14" s="112">
        <v>6500</v>
      </c>
      <c r="L14" s="112">
        <v>6500</v>
      </c>
      <c r="M14" s="112">
        <v>6500</v>
      </c>
      <c r="N14" s="112">
        <v>6500</v>
      </c>
      <c r="O14" s="3"/>
      <c r="P14" s="8">
        <f t="shared" si="5"/>
        <v>794300</v>
      </c>
      <c r="Q14" s="8">
        <f t="shared" si="6"/>
        <v>794300</v>
      </c>
      <c r="R14" s="8">
        <f t="shared" si="7"/>
        <v>794300</v>
      </c>
      <c r="S14" s="8">
        <f t="shared" si="8"/>
        <v>794300</v>
      </c>
      <c r="T14" s="8">
        <f t="shared" si="9"/>
        <v>794300</v>
      </c>
    </row>
    <row r="15" spans="1:22" ht="12.75" customHeight="1" x14ac:dyDescent="0.2">
      <c r="A15" s="7"/>
      <c r="C15" s="108" t="s">
        <v>58</v>
      </c>
      <c r="D15" s="109" t="s">
        <v>5</v>
      </c>
      <c r="E15" s="110" t="s">
        <v>2</v>
      </c>
      <c r="F15" s="3"/>
      <c r="G15" s="111">
        <v>122.2</v>
      </c>
      <c r="H15" s="12" t="s">
        <v>42</v>
      </c>
      <c r="I15" s="3"/>
      <c r="J15" s="113"/>
      <c r="K15" s="113">
        <v>1000</v>
      </c>
      <c r="L15" s="113"/>
      <c r="M15" s="113">
        <v>1000</v>
      </c>
      <c r="N15" s="113"/>
      <c r="O15" s="3"/>
      <c r="P15" s="8">
        <f t="shared" si="5"/>
        <v>0</v>
      </c>
      <c r="Q15" s="8">
        <f t="shared" si="6"/>
        <v>122200</v>
      </c>
      <c r="R15" s="8">
        <f t="shared" si="7"/>
        <v>0</v>
      </c>
      <c r="S15" s="8">
        <f t="shared" si="8"/>
        <v>122200</v>
      </c>
      <c r="T15" s="8">
        <f t="shared" si="9"/>
        <v>0</v>
      </c>
    </row>
    <row r="16" spans="1:22" ht="12.75" customHeight="1" x14ac:dyDescent="0.2">
      <c r="A16" s="7"/>
      <c r="C16" s="108" t="s">
        <v>59</v>
      </c>
      <c r="D16" s="109" t="s">
        <v>5</v>
      </c>
      <c r="E16" s="110" t="s">
        <v>2</v>
      </c>
      <c r="F16" s="3"/>
      <c r="G16" s="111">
        <v>122.2</v>
      </c>
      <c r="H16" s="12" t="s">
        <v>42</v>
      </c>
      <c r="I16" s="3"/>
      <c r="J16" s="113">
        <v>3500</v>
      </c>
      <c r="K16" s="113"/>
      <c r="L16" s="113">
        <v>1000</v>
      </c>
      <c r="M16" s="113"/>
      <c r="N16" s="113">
        <v>3500</v>
      </c>
      <c r="O16" s="3"/>
      <c r="P16" s="8">
        <f t="shared" si="5"/>
        <v>427700</v>
      </c>
      <c r="Q16" s="8">
        <f t="shared" si="6"/>
        <v>0</v>
      </c>
      <c r="R16" s="8">
        <f t="shared" si="7"/>
        <v>122200</v>
      </c>
      <c r="S16" s="8">
        <f t="shared" si="8"/>
        <v>0</v>
      </c>
      <c r="T16" s="8">
        <f t="shared" si="9"/>
        <v>427700</v>
      </c>
    </row>
    <row r="17" spans="1:25" ht="12.75" customHeight="1" x14ac:dyDescent="0.25">
      <c r="A17" s="7"/>
      <c r="C17" s="108" t="s">
        <v>60</v>
      </c>
      <c r="D17" s="109" t="s">
        <v>5</v>
      </c>
      <c r="E17" s="110" t="s">
        <v>2</v>
      </c>
      <c r="F17" s="3"/>
      <c r="G17" s="111">
        <v>122.2</v>
      </c>
      <c r="H17" s="12" t="s">
        <v>42</v>
      </c>
      <c r="I17" s="3"/>
      <c r="J17" s="113"/>
      <c r="K17" s="113"/>
      <c r="L17" s="113">
        <v>5000</v>
      </c>
      <c r="M17" s="113">
        <v>2500</v>
      </c>
      <c r="N17" s="113"/>
      <c r="O17" s="3"/>
      <c r="P17" s="8">
        <f t="shared" si="5"/>
        <v>0</v>
      </c>
      <c r="Q17" s="8">
        <f t="shared" si="6"/>
        <v>0</v>
      </c>
      <c r="R17" s="8">
        <f t="shared" si="7"/>
        <v>611000</v>
      </c>
      <c r="S17" s="8">
        <f t="shared" si="8"/>
        <v>305500</v>
      </c>
      <c r="T17" s="8">
        <f t="shared" si="9"/>
        <v>0</v>
      </c>
      <c r="Y17"/>
    </row>
    <row r="18" spans="1:25" ht="12.75" customHeight="1" x14ac:dyDescent="0.25">
      <c r="A18" s="7"/>
      <c r="C18" s="100"/>
      <c r="D18" s="100"/>
      <c r="E18" s="100"/>
      <c r="F18" s="3"/>
      <c r="G18" s="100"/>
      <c r="I18" s="3"/>
      <c r="J18" s="100"/>
      <c r="K18" s="100"/>
      <c r="L18" s="100"/>
      <c r="M18" s="100"/>
      <c r="N18" s="100"/>
      <c r="O18" s="3"/>
      <c r="Y18"/>
    </row>
    <row r="19" spans="1:25" ht="12.75" customHeight="1" x14ac:dyDescent="0.25">
      <c r="A19" s="7"/>
      <c r="C19" s="100"/>
      <c r="D19" s="100"/>
      <c r="E19" s="100"/>
      <c r="F19" s="3"/>
      <c r="G19" s="100"/>
      <c r="I19" s="3"/>
      <c r="J19" s="100"/>
      <c r="K19" s="100"/>
      <c r="L19" s="100"/>
      <c r="M19" s="100"/>
      <c r="N19" s="100"/>
      <c r="O19" s="3"/>
      <c r="Y19"/>
    </row>
    <row r="20" spans="1:25" ht="12.75" customHeight="1" x14ac:dyDescent="0.25">
      <c r="A20" s="7"/>
      <c r="C20" s="108" t="s">
        <v>54</v>
      </c>
      <c r="D20" s="109" t="s">
        <v>5</v>
      </c>
      <c r="E20" s="110" t="s">
        <v>1</v>
      </c>
      <c r="F20" s="3"/>
      <c r="G20" s="111">
        <v>200000</v>
      </c>
      <c r="H20" s="12" t="s">
        <v>43</v>
      </c>
      <c r="I20" s="3"/>
      <c r="J20" s="114">
        <v>0</v>
      </c>
      <c r="K20" s="115">
        <v>1</v>
      </c>
      <c r="L20" s="114">
        <v>0</v>
      </c>
      <c r="M20" s="115">
        <v>0</v>
      </c>
      <c r="N20" s="114">
        <v>2.5</v>
      </c>
      <c r="O20" s="3"/>
      <c r="P20" s="8">
        <f t="shared" ref="P20" si="10">J20*$G20</f>
        <v>0</v>
      </c>
      <c r="Q20" s="8">
        <f t="shared" ref="Q20" si="11">K20*$G20</f>
        <v>200000</v>
      </c>
      <c r="R20" s="8">
        <f t="shared" ref="R20" si="12">L20*$G20</f>
        <v>0</v>
      </c>
      <c r="S20" s="8">
        <f t="shared" ref="S20" si="13">M20*$G20</f>
        <v>0</v>
      </c>
      <c r="T20" s="8">
        <f t="shared" ref="T20" si="14">N20*$G20</f>
        <v>500000</v>
      </c>
      <c r="Y20"/>
    </row>
    <row r="21" spans="1:25" s="100" customFormat="1" ht="12.75" customHeight="1" x14ac:dyDescent="0.25">
      <c r="A21" s="7"/>
      <c r="C21" s="108" t="s">
        <v>53</v>
      </c>
      <c r="D21" s="109" t="s">
        <v>5</v>
      </c>
      <c r="E21" s="110" t="s">
        <v>1</v>
      </c>
      <c r="F21" s="3"/>
      <c r="G21" s="111">
        <v>100000</v>
      </c>
      <c r="H21" s="12" t="s">
        <v>43</v>
      </c>
      <c r="I21" s="3"/>
      <c r="J21" s="114">
        <v>0</v>
      </c>
      <c r="K21" s="115">
        <v>1</v>
      </c>
      <c r="L21" s="114">
        <v>0</v>
      </c>
      <c r="M21" s="115">
        <v>5</v>
      </c>
      <c r="N21" s="114">
        <v>0</v>
      </c>
      <c r="O21" s="3"/>
      <c r="P21" s="8">
        <f t="shared" ref="P21:P25" si="15">J21*$G21</f>
        <v>0</v>
      </c>
      <c r="Q21" s="8">
        <f t="shared" ref="Q21:Q25" si="16">K21*$G21</f>
        <v>100000</v>
      </c>
      <c r="R21" s="8">
        <f t="shared" ref="R21:R25" si="17">L21*$G21</f>
        <v>0</v>
      </c>
      <c r="S21" s="8">
        <f t="shared" ref="S21:S25" si="18">M21*$G21</f>
        <v>500000</v>
      </c>
      <c r="T21" s="8">
        <f t="shared" ref="T21:T25" si="19">N21*$G21</f>
        <v>0</v>
      </c>
      <c r="Y21"/>
    </row>
    <row r="22" spans="1:25" s="100" customFormat="1" ht="12.75" customHeight="1" x14ac:dyDescent="0.25">
      <c r="A22" s="7"/>
      <c r="C22" s="108" t="s">
        <v>55</v>
      </c>
      <c r="D22" s="109" t="s">
        <v>5</v>
      </c>
      <c r="E22" s="110" t="s">
        <v>1</v>
      </c>
      <c r="F22" s="3"/>
      <c r="G22" s="111">
        <v>250000</v>
      </c>
      <c r="H22" s="12" t="s">
        <v>43</v>
      </c>
      <c r="I22" s="3"/>
      <c r="J22" s="114">
        <v>0.5</v>
      </c>
      <c r="K22" s="115">
        <v>0.5</v>
      </c>
      <c r="L22" s="114">
        <v>0</v>
      </c>
      <c r="M22" s="115">
        <v>0</v>
      </c>
      <c r="N22" s="114">
        <v>0</v>
      </c>
      <c r="O22" s="3"/>
      <c r="P22" s="8">
        <f t="shared" si="15"/>
        <v>125000</v>
      </c>
      <c r="Q22" s="8">
        <f t="shared" si="16"/>
        <v>125000</v>
      </c>
      <c r="R22" s="8">
        <f t="shared" si="17"/>
        <v>0</v>
      </c>
      <c r="S22" s="8">
        <f t="shared" si="18"/>
        <v>0</v>
      </c>
      <c r="T22" s="8">
        <f t="shared" si="19"/>
        <v>0</v>
      </c>
      <c r="Y22"/>
    </row>
    <row r="23" spans="1:25" s="100" customFormat="1" ht="12.75" customHeight="1" x14ac:dyDescent="0.25">
      <c r="A23" s="7"/>
      <c r="C23" s="108" t="s">
        <v>57</v>
      </c>
      <c r="D23" s="109" t="s">
        <v>5</v>
      </c>
      <c r="E23" s="110" t="s">
        <v>1</v>
      </c>
      <c r="F23" s="3"/>
      <c r="G23" s="111">
        <v>50000</v>
      </c>
      <c r="H23" s="12" t="s">
        <v>43</v>
      </c>
      <c r="I23" s="3"/>
      <c r="J23" s="114">
        <v>1</v>
      </c>
      <c r="K23" s="115">
        <v>1</v>
      </c>
      <c r="L23" s="114">
        <v>1</v>
      </c>
      <c r="M23" s="115">
        <v>1</v>
      </c>
      <c r="N23" s="114">
        <v>1</v>
      </c>
      <c r="O23" s="3"/>
      <c r="P23" s="8">
        <f t="shared" si="15"/>
        <v>50000</v>
      </c>
      <c r="Q23" s="8">
        <f t="shared" si="16"/>
        <v>50000</v>
      </c>
      <c r="R23" s="8">
        <f t="shared" si="17"/>
        <v>50000</v>
      </c>
      <c r="S23" s="8">
        <f t="shared" si="18"/>
        <v>50000</v>
      </c>
      <c r="T23" s="8">
        <f t="shared" si="19"/>
        <v>50000</v>
      </c>
      <c r="Y23"/>
    </row>
    <row r="24" spans="1:25" s="100" customFormat="1" ht="12.75" customHeight="1" x14ac:dyDescent="0.25">
      <c r="A24" s="7"/>
      <c r="C24" s="108" t="s">
        <v>58</v>
      </c>
      <c r="D24" s="109" t="s">
        <v>5</v>
      </c>
      <c r="E24" s="110" t="s">
        <v>1</v>
      </c>
      <c r="F24" s="3"/>
      <c r="G24" s="111">
        <v>25000</v>
      </c>
      <c r="H24" s="12" t="s">
        <v>43</v>
      </c>
      <c r="I24" s="3"/>
      <c r="J24" s="114">
        <v>0</v>
      </c>
      <c r="K24" s="115">
        <v>1</v>
      </c>
      <c r="L24" s="114">
        <v>0</v>
      </c>
      <c r="M24" s="115">
        <v>1</v>
      </c>
      <c r="N24" s="114">
        <v>0</v>
      </c>
      <c r="O24" s="3"/>
      <c r="P24" s="8">
        <f t="shared" si="15"/>
        <v>0</v>
      </c>
      <c r="Q24" s="8">
        <f t="shared" si="16"/>
        <v>25000</v>
      </c>
      <c r="R24" s="8">
        <f t="shared" si="17"/>
        <v>0</v>
      </c>
      <c r="S24" s="8">
        <f t="shared" si="18"/>
        <v>25000</v>
      </c>
      <c r="T24" s="8">
        <f t="shared" si="19"/>
        <v>0</v>
      </c>
      <c r="Y24"/>
    </row>
    <row r="25" spans="1:25" s="100" customFormat="1" ht="12.75" customHeight="1" x14ac:dyDescent="0.25">
      <c r="A25" s="7"/>
      <c r="C25" s="108" t="s">
        <v>59</v>
      </c>
      <c r="D25" s="109" t="s">
        <v>5</v>
      </c>
      <c r="E25" s="110" t="s">
        <v>1</v>
      </c>
      <c r="F25" s="3"/>
      <c r="G25" s="111">
        <v>25000</v>
      </c>
      <c r="H25" s="12" t="s">
        <v>43</v>
      </c>
      <c r="I25" s="3"/>
      <c r="J25" s="114">
        <v>7.5</v>
      </c>
      <c r="K25" s="115"/>
      <c r="L25" s="114">
        <v>1</v>
      </c>
      <c r="M25" s="115"/>
      <c r="N25" s="114">
        <v>7.5</v>
      </c>
      <c r="O25" s="3"/>
      <c r="P25" s="8">
        <f t="shared" si="15"/>
        <v>187500</v>
      </c>
      <c r="Q25" s="8">
        <f t="shared" si="16"/>
        <v>0</v>
      </c>
      <c r="R25" s="8">
        <f t="shared" si="17"/>
        <v>25000</v>
      </c>
      <c r="S25" s="8">
        <f t="shared" si="18"/>
        <v>0</v>
      </c>
      <c r="T25" s="8">
        <f t="shared" si="19"/>
        <v>187500</v>
      </c>
      <c r="Y25"/>
    </row>
    <row r="26" spans="1:25" ht="12.75" customHeight="1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Y26"/>
    </row>
    <row r="27" spans="1:25" ht="12.75" customHeight="1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Y27"/>
    </row>
    <row r="28" spans="1:25" ht="12.75" customHeight="1" x14ac:dyDescent="0.2">
      <c r="A28" s="7"/>
      <c r="C28" s="108" t="s">
        <v>55</v>
      </c>
      <c r="D28" s="109" t="s">
        <v>5</v>
      </c>
      <c r="E28" s="110" t="s">
        <v>4</v>
      </c>
      <c r="F28" s="100"/>
      <c r="G28" s="6"/>
      <c r="H28" s="13" t="s">
        <v>44</v>
      </c>
      <c r="I28" s="100"/>
      <c r="J28" s="112">
        <v>225000</v>
      </c>
      <c r="K28" s="112">
        <v>225000</v>
      </c>
      <c r="L28" s="112">
        <v>0</v>
      </c>
      <c r="M28" s="112">
        <v>200000</v>
      </c>
      <c r="N28" s="112">
        <v>200000</v>
      </c>
      <c r="P28" s="8">
        <f t="shared" ref="P28" si="20">J28</f>
        <v>225000</v>
      </c>
      <c r="Q28" s="8">
        <f t="shared" ref="Q28" si="21">K28</f>
        <v>225000</v>
      </c>
      <c r="R28" s="8">
        <f t="shared" ref="R28" si="22">L28</f>
        <v>0</v>
      </c>
      <c r="S28" s="8">
        <f t="shared" ref="S28" si="23">M28</f>
        <v>200000</v>
      </c>
      <c r="T28" s="8">
        <f t="shared" ref="T28" si="24">N28</f>
        <v>200000</v>
      </c>
    </row>
    <row r="29" spans="1:25" s="100" customFormat="1" ht="12.75" customHeight="1" x14ac:dyDescent="0.2">
      <c r="A29" s="7"/>
      <c r="C29" s="108" t="s">
        <v>54</v>
      </c>
      <c r="D29" s="109" t="s">
        <v>5</v>
      </c>
      <c r="E29" s="110" t="s">
        <v>4</v>
      </c>
      <c r="G29" s="6"/>
      <c r="H29" s="13" t="s">
        <v>44</v>
      </c>
      <c r="J29" s="112">
        <v>0</v>
      </c>
      <c r="K29" s="112">
        <v>200000</v>
      </c>
      <c r="L29" s="112">
        <v>0</v>
      </c>
      <c r="M29" s="112">
        <v>0</v>
      </c>
      <c r="N29" s="112">
        <v>250000</v>
      </c>
      <c r="P29" s="8">
        <f t="shared" ref="P29:P33" si="25">J29</f>
        <v>0</v>
      </c>
      <c r="Q29" s="8">
        <f t="shared" ref="Q29:Q33" si="26">K29</f>
        <v>200000</v>
      </c>
      <c r="R29" s="8">
        <f t="shared" ref="R29:R33" si="27">L29</f>
        <v>0</v>
      </c>
      <c r="S29" s="8">
        <f t="shared" ref="S29:S33" si="28">M29</f>
        <v>0</v>
      </c>
      <c r="T29" s="8">
        <f t="shared" ref="T29:T33" si="29">N29</f>
        <v>250000</v>
      </c>
    </row>
    <row r="30" spans="1:25" s="100" customFormat="1" ht="12.75" customHeight="1" x14ac:dyDescent="0.2">
      <c r="A30" s="7"/>
      <c r="C30" s="108" t="s">
        <v>57</v>
      </c>
      <c r="D30" s="109" t="s">
        <v>5</v>
      </c>
      <c r="E30" s="110" t="s">
        <v>4</v>
      </c>
      <c r="G30" s="6"/>
      <c r="H30" s="13" t="s">
        <v>44</v>
      </c>
      <c r="J30" s="112">
        <v>200000</v>
      </c>
      <c r="K30" s="112">
        <v>200000</v>
      </c>
      <c r="L30" s="112">
        <v>200000</v>
      </c>
      <c r="M30" s="112">
        <v>200000</v>
      </c>
      <c r="N30" s="112">
        <v>200000</v>
      </c>
      <c r="P30" s="8">
        <f t="shared" si="25"/>
        <v>200000</v>
      </c>
      <c r="Q30" s="8">
        <f t="shared" si="26"/>
        <v>200000</v>
      </c>
      <c r="R30" s="8">
        <f t="shared" si="27"/>
        <v>200000</v>
      </c>
      <c r="S30" s="8">
        <f t="shared" si="28"/>
        <v>200000</v>
      </c>
      <c r="T30" s="8">
        <f t="shared" si="29"/>
        <v>200000</v>
      </c>
    </row>
    <row r="31" spans="1:25" s="100" customFormat="1" ht="12.75" customHeight="1" x14ac:dyDescent="0.2">
      <c r="A31" s="7"/>
      <c r="C31" s="108" t="s">
        <v>53</v>
      </c>
      <c r="D31" s="109" t="s">
        <v>5</v>
      </c>
      <c r="E31" s="110" t="s">
        <v>4</v>
      </c>
      <c r="G31" s="6"/>
      <c r="H31" s="13" t="s">
        <v>44</v>
      </c>
      <c r="J31" s="112">
        <v>0</v>
      </c>
      <c r="K31" s="112">
        <v>0</v>
      </c>
      <c r="L31" s="112">
        <v>0</v>
      </c>
      <c r="M31" s="112">
        <v>100000</v>
      </c>
      <c r="N31" s="112">
        <v>0</v>
      </c>
      <c r="P31" s="8">
        <f t="shared" si="25"/>
        <v>0</v>
      </c>
      <c r="Q31" s="8">
        <f t="shared" si="26"/>
        <v>0</v>
      </c>
      <c r="R31" s="8">
        <f t="shared" si="27"/>
        <v>0</v>
      </c>
      <c r="S31" s="8">
        <f t="shared" si="28"/>
        <v>100000</v>
      </c>
      <c r="T31" s="8">
        <f t="shared" si="29"/>
        <v>0</v>
      </c>
    </row>
    <row r="32" spans="1:25" s="100" customFormat="1" ht="12.75" customHeight="1" x14ac:dyDescent="0.2">
      <c r="A32" s="7"/>
      <c r="C32" s="108" t="s">
        <v>58</v>
      </c>
      <c r="D32" s="109" t="s">
        <v>5</v>
      </c>
      <c r="E32" s="110" t="s">
        <v>4</v>
      </c>
      <c r="G32" s="6"/>
      <c r="H32" s="13" t="s">
        <v>44</v>
      </c>
      <c r="J32" s="112">
        <v>0</v>
      </c>
      <c r="K32" s="112">
        <v>22000</v>
      </c>
      <c r="L32" s="112">
        <v>0</v>
      </c>
      <c r="M32" s="112">
        <v>22000</v>
      </c>
      <c r="N32" s="112">
        <v>0</v>
      </c>
      <c r="P32" s="8">
        <f t="shared" si="25"/>
        <v>0</v>
      </c>
      <c r="Q32" s="8">
        <f t="shared" si="26"/>
        <v>22000</v>
      </c>
      <c r="R32" s="8">
        <f t="shared" si="27"/>
        <v>0</v>
      </c>
      <c r="S32" s="8">
        <f t="shared" si="28"/>
        <v>22000</v>
      </c>
      <c r="T32" s="8">
        <f t="shared" si="29"/>
        <v>0</v>
      </c>
    </row>
    <row r="33" spans="1:25" s="100" customFormat="1" ht="12.75" customHeight="1" x14ac:dyDescent="0.2">
      <c r="A33" s="7"/>
      <c r="C33" s="108" t="s">
        <v>59</v>
      </c>
      <c r="D33" s="109" t="s">
        <v>5</v>
      </c>
      <c r="E33" s="110" t="s">
        <v>4</v>
      </c>
      <c r="G33" s="6"/>
      <c r="H33" s="13" t="s">
        <v>44</v>
      </c>
      <c r="J33" s="112">
        <v>187000</v>
      </c>
      <c r="K33" s="112"/>
      <c r="L33" s="112">
        <v>25000</v>
      </c>
      <c r="M33" s="112"/>
      <c r="N33" s="112">
        <v>187000</v>
      </c>
      <c r="P33" s="8">
        <f t="shared" si="25"/>
        <v>187000</v>
      </c>
      <c r="Q33" s="8">
        <f t="shared" si="26"/>
        <v>0</v>
      </c>
      <c r="R33" s="8">
        <f t="shared" si="27"/>
        <v>25000</v>
      </c>
      <c r="S33" s="8">
        <f t="shared" si="28"/>
        <v>0</v>
      </c>
      <c r="T33" s="8">
        <f t="shared" si="29"/>
        <v>187000</v>
      </c>
    </row>
    <row r="34" spans="1:25" ht="12.75" customHeight="1" x14ac:dyDescent="0.25">
      <c r="F34" s="3"/>
      <c r="I34" s="3"/>
      <c r="O34" s="3"/>
      <c r="Y34"/>
    </row>
    <row r="35" spans="1:25" ht="12.75" customHeight="1" x14ac:dyDescent="0.25">
      <c r="F35" s="3"/>
      <c r="I35" s="3"/>
      <c r="O35" s="3"/>
      <c r="Y35"/>
    </row>
    <row r="36" spans="1:25" ht="12.75" customHeight="1" x14ac:dyDescent="0.25">
      <c r="C36" s="5" t="s">
        <v>13</v>
      </c>
      <c r="F36" s="3"/>
      <c r="I36" s="3"/>
      <c r="O36" s="3"/>
      <c r="Y36"/>
    </row>
    <row r="37" spans="1:25" ht="12.75" customHeight="1" x14ac:dyDescent="0.2">
      <c r="C37" s="28" t="s">
        <v>2</v>
      </c>
      <c r="D37" s="28" t="s">
        <v>5</v>
      </c>
      <c r="E37" s="28"/>
      <c r="F37" s="3"/>
      <c r="G37" s="28"/>
      <c r="H37" s="29"/>
      <c r="I37" s="3"/>
      <c r="J37" s="28"/>
      <c r="K37" s="28"/>
      <c r="L37" s="28"/>
      <c r="M37" s="28"/>
      <c r="N37" s="28"/>
      <c r="O37" s="3"/>
      <c r="P37" s="30">
        <f t="shared" ref="P37:T42" si="30">SUMIFS(P$10:P$33,$E$10:$E$33,$C37,$D$10:$D$33,$D37)</f>
        <v>6110000</v>
      </c>
      <c r="Q37" s="30">
        <f t="shared" si="30"/>
        <v>5499000</v>
      </c>
      <c r="R37" s="30">
        <f t="shared" si="30"/>
        <v>1527500</v>
      </c>
      <c r="S37" s="30">
        <f t="shared" si="30"/>
        <v>4277000</v>
      </c>
      <c r="T37" s="30">
        <f t="shared" si="30"/>
        <v>4338100</v>
      </c>
    </row>
    <row r="38" spans="1:25" ht="12.75" customHeight="1" x14ac:dyDescent="0.2">
      <c r="C38" s="4" t="s">
        <v>1</v>
      </c>
      <c r="D38" s="4" t="s">
        <v>5</v>
      </c>
      <c r="E38" s="4"/>
      <c r="F38" s="3"/>
      <c r="G38" s="4"/>
      <c r="H38" s="13"/>
      <c r="I38" s="3"/>
      <c r="J38" s="4"/>
      <c r="K38" s="4"/>
      <c r="L38" s="4"/>
      <c r="M38" s="4"/>
      <c r="N38" s="4"/>
      <c r="O38" s="3"/>
      <c r="P38" s="9">
        <f t="shared" si="30"/>
        <v>362500</v>
      </c>
      <c r="Q38" s="9">
        <f t="shared" si="30"/>
        <v>500000</v>
      </c>
      <c r="R38" s="9">
        <f t="shared" si="30"/>
        <v>75000</v>
      </c>
      <c r="S38" s="9">
        <f t="shared" si="30"/>
        <v>575000</v>
      </c>
      <c r="T38" s="9">
        <f t="shared" si="30"/>
        <v>737500</v>
      </c>
    </row>
    <row r="39" spans="1:25" ht="12.75" customHeight="1" x14ac:dyDescent="0.2">
      <c r="C39" s="4" t="s">
        <v>4</v>
      </c>
      <c r="D39" s="4" t="s">
        <v>5</v>
      </c>
      <c r="E39" s="4"/>
      <c r="F39" s="3"/>
      <c r="G39" s="4"/>
      <c r="H39" s="13"/>
      <c r="I39" s="3"/>
      <c r="J39" s="4"/>
      <c r="K39" s="4"/>
      <c r="L39" s="4"/>
      <c r="M39" s="4"/>
      <c r="N39" s="4"/>
      <c r="O39" s="3"/>
      <c r="P39" s="9">
        <f t="shared" si="30"/>
        <v>612000</v>
      </c>
      <c r="Q39" s="9">
        <f t="shared" si="30"/>
        <v>647000</v>
      </c>
      <c r="R39" s="9">
        <f t="shared" si="30"/>
        <v>225000</v>
      </c>
      <c r="S39" s="9">
        <f t="shared" si="30"/>
        <v>522000</v>
      </c>
      <c r="T39" s="9">
        <f t="shared" si="30"/>
        <v>837000</v>
      </c>
    </row>
    <row r="40" spans="1:25" ht="12.75" customHeight="1" x14ac:dyDescent="0.2">
      <c r="C40" s="4" t="s">
        <v>2</v>
      </c>
      <c r="D40" s="4" t="s">
        <v>41</v>
      </c>
      <c r="E40" s="4"/>
      <c r="F40" s="3"/>
      <c r="G40" s="4"/>
      <c r="H40" s="13"/>
      <c r="I40" s="3"/>
      <c r="J40" s="4"/>
      <c r="K40" s="4"/>
      <c r="L40" s="4"/>
      <c r="M40" s="4"/>
      <c r="N40" s="4"/>
      <c r="O40" s="3"/>
      <c r="P40" s="9">
        <f t="shared" si="30"/>
        <v>0</v>
      </c>
      <c r="Q40" s="9">
        <f t="shared" si="30"/>
        <v>0</v>
      </c>
      <c r="R40" s="9">
        <f t="shared" si="30"/>
        <v>0</v>
      </c>
      <c r="S40" s="9">
        <f t="shared" si="30"/>
        <v>0</v>
      </c>
      <c r="T40" s="9">
        <f t="shared" si="30"/>
        <v>0</v>
      </c>
    </row>
    <row r="41" spans="1:25" ht="12.75" customHeight="1" x14ac:dyDescent="0.2">
      <c r="C41" s="4" t="s">
        <v>1</v>
      </c>
      <c r="D41" s="4" t="s">
        <v>41</v>
      </c>
      <c r="E41" s="4"/>
      <c r="F41" s="3"/>
      <c r="G41" s="4"/>
      <c r="H41" s="13"/>
      <c r="I41" s="3"/>
      <c r="J41" s="4"/>
      <c r="K41" s="4"/>
      <c r="L41" s="4"/>
      <c r="M41" s="4"/>
      <c r="N41" s="4"/>
      <c r="O41" s="3"/>
      <c r="P41" s="9">
        <f t="shared" si="30"/>
        <v>0</v>
      </c>
      <c r="Q41" s="9">
        <f t="shared" si="30"/>
        <v>0</v>
      </c>
      <c r="R41" s="9">
        <f t="shared" si="30"/>
        <v>0</v>
      </c>
      <c r="S41" s="9">
        <f t="shared" si="30"/>
        <v>0</v>
      </c>
      <c r="T41" s="9">
        <f t="shared" si="30"/>
        <v>0</v>
      </c>
    </row>
    <row r="42" spans="1:25" ht="12.75" customHeight="1" x14ac:dyDescent="0.2">
      <c r="C42" s="4" t="s">
        <v>4</v>
      </c>
      <c r="D42" s="4" t="s">
        <v>41</v>
      </c>
      <c r="E42" s="7"/>
      <c r="F42" s="3"/>
      <c r="G42" s="7"/>
      <c r="H42" s="31"/>
      <c r="I42" s="3"/>
      <c r="J42" s="7"/>
      <c r="K42" s="7"/>
      <c r="L42" s="7"/>
      <c r="M42" s="7"/>
      <c r="N42" s="7"/>
      <c r="O42" s="3"/>
      <c r="P42" s="9">
        <f t="shared" si="30"/>
        <v>0</v>
      </c>
      <c r="Q42" s="9">
        <f t="shared" si="30"/>
        <v>0</v>
      </c>
      <c r="R42" s="9">
        <f t="shared" si="30"/>
        <v>0</v>
      </c>
      <c r="S42" s="9">
        <f t="shared" si="30"/>
        <v>0</v>
      </c>
      <c r="T42" s="9">
        <f t="shared" si="30"/>
        <v>0</v>
      </c>
    </row>
    <row r="43" spans="1:25" ht="12.75" customHeight="1" x14ac:dyDescent="0.2">
      <c r="C43" s="10" t="str">
        <f>"Total Expenditure ($ "&amp;Assumptions!$B$8&amp;")"</f>
        <v>Total Expenditure ($ 2018)</v>
      </c>
      <c r="D43" s="10"/>
      <c r="E43" s="10"/>
      <c r="F43" s="3"/>
      <c r="G43" s="10"/>
      <c r="H43" s="14"/>
      <c r="I43" s="3"/>
      <c r="J43" s="10"/>
      <c r="K43" s="10"/>
      <c r="L43" s="10"/>
      <c r="M43" s="10"/>
      <c r="N43" s="10"/>
      <c r="O43" s="3"/>
      <c r="P43" s="11">
        <f>SUM(P37:P42)</f>
        <v>7084500</v>
      </c>
      <c r="Q43" s="11">
        <f t="shared" ref="Q43:T43" si="31">SUM(Q37:Q42)</f>
        <v>6646000</v>
      </c>
      <c r="R43" s="11">
        <f t="shared" si="31"/>
        <v>1827500</v>
      </c>
      <c r="S43" s="11">
        <f t="shared" si="31"/>
        <v>5374000</v>
      </c>
      <c r="T43" s="11">
        <f t="shared" si="31"/>
        <v>5912600</v>
      </c>
      <c r="U43" s="44"/>
    </row>
    <row r="44" spans="1:25" ht="12.75" customHeight="1" x14ac:dyDescent="0.2">
      <c r="C44" s="28" t="str">
        <f>"Total Expenditure ($ "&amp;Assumptions!B17&amp;")"</f>
        <v>Total Expenditure ($ 2020/21)</v>
      </c>
      <c r="D44" s="28"/>
      <c r="E44" s="28"/>
      <c r="F44" s="3"/>
      <c r="G44" s="28"/>
      <c r="H44" s="29"/>
      <c r="I44" s="3"/>
      <c r="J44" s="28"/>
      <c r="K44" s="28"/>
      <c r="L44" s="28"/>
      <c r="M44" s="28"/>
      <c r="N44" s="28"/>
      <c r="O44" s="3"/>
      <c r="P44" s="45">
        <f>P43*Assumptions!$B$18</f>
        <v>7502791.6287116678</v>
      </c>
      <c r="Q44" s="45">
        <f>Q43*Assumptions!$B$18</f>
        <v>7038401.1806645133</v>
      </c>
      <c r="R44" s="45">
        <f>R43*Assumptions!$B$18</f>
        <v>1935401.4682010831</v>
      </c>
      <c r="S44" s="45">
        <f>S43*Assumptions!$B$18</f>
        <v>5691298.2162038963</v>
      </c>
      <c r="T44" s="45">
        <f>T43*Assumptions!$B$18</f>
        <v>6261698.8896775506</v>
      </c>
      <c r="U44" s="44"/>
    </row>
    <row r="45" spans="1:25" ht="12.75" customHeight="1" x14ac:dyDescent="0.2">
      <c r="C45" s="101" t="s">
        <v>12</v>
      </c>
      <c r="D45" s="101"/>
      <c r="E45" s="101"/>
      <c r="F45" s="3"/>
      <c r="G45" s="101"/>
      <c r="H45" s="101"/>
      <c r="I45" s="3"/>
      <c r="J45" s="101"/>
      <c r="K45" s="101"/>
      <c r="L45" s="101"/>
      <c r="M45" s="101"/>
      <c r="N45" s="101"/>
      <c r="O45" s="3"/>
      <c r="P45" s="102">
        <f>P43-SUM(P10:P33)</f>
        <v>0</v>
      </c>
      <c r="Q45" s="102">
        <f>Q43-SUM(Q10:Q33)</f>
        <v>0</v>
      </c>
      <c r="R45" s="102">
        <f>R43-SUM(R10:R33)</f>
        <v>0</v>
      </c>
      <c r="S45" s="102">
        <f>S43-SUM(S10:S33)</f>
        <v>0</v>
      </c>
      <c r="T45" s="102">
        <f>T43-SUM(T10:T33)</f>
        <v>0</v>
      </c>
      <c r="V45" s="102">
        <f>SUM(P45:T45)</f>
        <v>0</v>
      </c>
    </row>
    <row r="46" spans="1:25" ht="12.75" customHeight="1" x14ac:dyDescent="0.2">
      <c r="F46" s="3"/>
      <c r="I46" s="3"/>
      <c r="O46" s="3"/>
    </row>
    <row r="47" spans="1:25" ht="12.75" customHeight="1" x14ac:dyDescent="0.2">
      <c r="C47" s="127" t="str">
        <f>"NPV ($ "&amp;Assumptions!$B$17&amp;")"</f>
        <v>NPV ($ 2020/21)</v>
      </c>
      <c r="D47" s="128">
        <f>NPV(Assumptions!$B$6,$P$44:$T$44)</f>
        <v>26326269.830384351</v>
      </c>
      <c r="F47" s="3"/>
      <c r="I47" s="3"/>
      <c r="O47" s="3"/>
    </row>
    <row r="48" spans="1:25" ht="12.75" customHeight="1" x14ac:dyDescent="0.2">
      <c r="O48" s="3"/>
    </row>
    <row r="49" spans="15:15" ht="12.75" customHeight="1" x14ac:dyDescent="0.2">
      <c r="O49" s="3"/>
    </row>
    <row r="50" spans="15:15" ht="12.75" customHeight="1" x14ac:dyDescent="0.2"/>
    <row r="51" spans="15:15" ht="12.75" customHeight="1" x14ac:dyDescent="0.2"/>
    <row r="52" spans="15:15" ht="12.75" customHeight="1" x14ac:dyDescent="0.2"/>
  </sheetData>
  <sortState ref="B52:B54">
    <sortCondition ref="B52:B54"/>
  </sortState>
  <conditionalFormatting sqref="V45">
    <cfRule type="expression" dxfId="3" priority="2">
      <formula>ABS(V45)&gt;0.001</formula>
    </cfRule>
  </conditionalFormatting>
  <conditionalFormatting sqref="P45:T45">
    <cfRule type="expression" dxfId="2" priority="1">
      <formula>ABS(P45)&gt;0.001</formula>
    </cfRule>
  </conditionalFormatting>
  <dataValidations count="2">
    <dataValidation type="list" allowBlank="1" showInputMessage="1" showErrorMessage="1" sqref="D20:D25 D10:D17 D28:D33">
      <formula1>"CapEx, OpEx"</formula1>
    </dataValidation>
    <dataValidation type="list" allowBlank="1" showInputMessage="1" showErrorMessage="1" sqref="E20:E25 E10:E17 E28:E33">
      <formula1>"Labour, Materials, Contracts"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Y61"/>
  <sheetViews>
    <sheetView showGridLines="0" zoomScale="90" zoomScaleNormal="90" workbookViewId="0"/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45.7109375" style="1" customWidth="1"/>
    <col min="4" max="5" width="11.140625" style="1" customWidth="1"/>
    <col min="6" max="6" width="2.85546875" style="1" customWidth="1"/>
    <col min="7" max="7" width="12.140625" style="1" customWidth="1"/>
    <col min="8" max="8" width="12.7109375" style="12" customWidth="1"/>
    <col min="9" max="9" width="2.85546875" style="1" customWidth="1"/>
    <col min="10" max="14" width="12.140625" style="1" customWidth="1"/>
    <col min="15" max="15" width="2.85546875" style="1" customWidth="1"/>
    <col min="16" max="20" width="12.140625" style="1" customWidth="1"/>
    <col min="21" max="21" width="2.140625" style="1" customWidth="1"/>
    <col min="22" max="16384" width="9.140625" style="1"/>
  </cols>
  <sheetData>
    <row r="1" spans="1:25" ht="21" x14ac:dyDescent="0.35">
      <c r="A1" s="18" t="str">
        <f>Assumptions!A1</f>
        <v>Network Management</v>
      </c>
      <c r="B1" s="18"/>
      <c r="C1" s="15"/>
      <c r="D1" s="15"/>
      <c r="E1" s="15"/>
      <c r="F1" s="15"/>
      <c r="G1" s="15"/>
      <c r="H1" s="16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5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6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5" s="39" customFormat="1" ht="15" x14ac:dyDescent="0.25">
      <c r="A3" s="37" t="s">
        <v>21</v>
      </c>
      <c r="B3" s="37"/>
      <c r="C3" s="37"/>
      <c r="D3" s="37"/>
      <c r="E3" s="37"/>
      <c r="F3" s="37"/>
      <c r="G3" s="37"/>
      <c r="H3" s="38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V3" s="120" t="b">
        <f>SUM(V7:V54)=0</f>
        <v>1</v>
      </c>
    </row>
    <row r="4" spans="1:25" s="2" customFormat="1" ht="12.75" customHeight="1" x14ac:dyDescent="0.25">
      <c r="B4" s="19"/>
      <c r="C4" s="20"/>
      <c r="D4" s="20"/>
      <c r="E4" s="20"/>
      <c r="F4" s="20"/>
      <c r="G4" s="20"/>
      <c r="H4" s="21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</row>
    <row r="5" spans="1:25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1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</row>
    <row r="6" spans="1:25" ht="12.75" customHeight="1" x14ac:dyDescent="0.2">
      <c r="A6" s="7"/>
      <c r="F6" s="20"/>
    </row>
    <row r="7" spans="1:25" ht="12.75" customHeight="1" x14ac:dyDescent="0.2">
      <c r="A7" s="7"/>
      <c r="B7" s="100"/>
      <c r="C7" s="122" t="s">
        <v>46</v>
      </c>
      <c r="D7" s="23" t="s">
        <v>23</v>
      </c>
      <c r="E7" s="23" t="s">
        <v>9</v>
      </c>
      <c r="F7" s="20"/>
      <c r="G7" s="23" t="s">
        <v>15</v>
      </c>
      <c r="H7" s="23" t="s">
        <v>10</v>
      </c>
      <c r="I7" s="100"/>
      <c r="J7" s="23" t="s">
        <v>45</v>
      </c>
      <c r="K7" s="24"/>
      <c r="L7" s="24"/>
      <c r="M7" s="24"/>
      <c r="N7" s="24"/>
      <c r="O7" s="4"/>
      <c r="P7" s="23" t="s">
        <v>11</v>
      </c>
      <c r="Q7" s="24"/>
      <c r="R7" s="24"/>
      <c r="S7" s="24"/>
      <c r="T7" s="24"/>
    </row>
    <row r="8" spans="1:25" s="100" customFormat="1" ht="12.75" customHeight="1" x14ac:dyDescent="0.2">
      <c r="A8" s="7"/>
      <c r="B8" s="7"/>
      <c r="C8" s="7"/>
      <c r="D8" s="7"/>
      <c r="E8" s="7"/>
      <c r="F8" s="20"/>
      <c r="G8" s="7"/>
      <c r="H8" s="7"/>
      <c r="I8" s="4"/>
      <c r="J8" s="123" t="s">
        <v>16</v>
      </c>
      <c r="K8" s="123" t="s">
        <v>17</v>
      </c>
      <c r="L8" s="123" t="s">
        <v>18</v>
      </c>
      <c r="M8" s="123" t="s">
        <v>19</v>
      </c>
      <c r="N8" s="123" t="s">
        <v>20</v>
      </c>
      <c r="O8" s="4"/>
      <c r="P8" s="123" t="s">
        <v>16</v>
      </c>
      <c r="Q8" s="123" t="s">
        <v>17</v>
      </c>
      <c r="R8" s="123" t="s">
        <v>18</v>
      </c>
      <c r="S8" s="123" t="s">
        <v>19</v>
      </c>
      <c r="T8" s="123" t="s">
        <v>20</v>
      </c>
    </row>
    <row r="9" spans="1:25" ht="12.75" customHeight="1" x14ac:dyDescent="0.2">
      <c r="A9" s="100"/>
      <c r="B9" s="100"/>
      <c r="C9" s="100"/>
      <c r="D9" s="100"/>
      <c r="E9" s="100"/>
      <c r="F9" s="20"/>
      <c r="G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</row>
    <row r="10" spans="1:25" ht="12.75" customHeight="1" x14ac:dyDescent="0.2">
      <c r="A10" s="7" t="str">
        <f>IF(ISBLANK(B10),"",1+MAX(A$6:A9))</f>
        <v/>
      </c>
      <c r="C10" s="108" t="s">
        <v>54</v>
      </c>
      <c r="D10" s="109" t="s">
        <v>5</v>
      </c>
      <c r="E10" s="110" t="s">
        <v>2</v>
      </c>
      <c r="F10" s="3"/>
      <c r="G10" s="111">
        <v>122.2</v>
      </c>
      <c r="H10" s="12" t="s">
        <v>42</v>
      </c>
      <c r="I10" s="3"/>
      <c r="J10" s="112">
        <v>0</v>
      </c>
      <c r="K10" s="112">
        <v>0</v>
      </c>
      <c r="L10" s="112">
        <v>6543.75</v>
      </c>
      <c r="M10" s="112">
        <v>9817.5</v>
      </c>
      <c r="N10" s="112">
        <v>0</v>
      </c>
      <c r="O10" s="3"/>
      <c r="P10" s="8">
        <f t="shared" ref="P10:T10" si="0">J10*$G10</f>
        <v>0</v>
      </c>
      <c r="Q10" s="8">
        <f t="shared" si="0"/>
        <v>0</v>
      </c>
      <c r="R10" s="8">
        <f t="shared" si="0"/>
        <v>799646.25</v>
      </c>
      <c r="S10" s="8">
        <f t="shared" si="0"/>
        <v>1199698.5</v>
      </c>
      <c r="T10" s="8">
        <f t="shared" si="0"/>
        <v>0</v>
      </c>
    </row>
    <row r="11" spans="1:25" ht="12.75" customHeight="1" x14ac:dyDescent="0.2">
      <c r="A11" s="7" t="str">
        <f>IF(ISBLANK(B11),"",1+MAX(A$6:A10))</f>
        <v/>
      </c>
      <c r="C11" s="108" t="s">
        <v>53</v>
      </c>
      <c r="D11" s="109" t="s">
        <v>5</v>
      </c>
      <c r="E11" s="110" t="s">
        <v>2</v>
      </c>
      <c r="F11" s="3"/>
      <c r="G11" s="111">
        <v>122.2</v>
      </c>
      <c r="H11" s="12" t="s">
        <v>42</v>
      </c>
      <c r="I11" s="3"/>
      <c r="J11" s="112">
        <v>0</v>
      </c>
      <c r="K11" s="112">
        <v>0</v>
      </c>
      <c r="L11" s="112">
        <v>24543.75</v>
      </c>
      <c r="M11" s="112">
        <v>24543.75</v>
      </c>
      <c r="N11" s="112">
        <v>0</v>
      </c>
      <c r="O11" s="3"/>
      <c r="P11" s="8">
        <f t="shared" ref="P11:P19" si="1">J11*$G11</f>
        <v>0</v>
      </c>
      <c r="Q11" s="8">
        <f t="shared" ref="Q11:Q19" si="2">K11*$G11</f>
        <v>0</v>
      </c>
      <c r="R11" s="8">
        <f t="shared" ref="R11:R19" si="3">L11*$G11</f>
        <v>2999246.25</v>
      </c>
      <c r="S11" s="8">
        <f t="shared" ref="S11:S19" si="4">M11*$G11</f>
        <v>2999246.25</v>
      </c>
      <c r="T11" s="8">
        <f t="shared" ref="T11:T19" si="5">N11*$G11</f>
        <v>0</v>
      </c>
    </row>
    <row r="12" spans="1:25" ht="12.75" customHeight="1" x14ac:dyDescent="0.2">
      <c r="A12" s="7" t="str">
        <f>IF(ISBLANK(B12),"",1+MAX(A$6:A11))</f>
        <v/>
      </c>
      <c r="C12" s="108" t="s">
        <v>63</v>
      </c>
      <c r="D12" s="109" t="s">
        <v>5</v>
      </c>
      <c r="E12" s="110" t="s">
        <v>2</v>
      </c>
      <c r="F12" s="3"/>
      <c r="G12" s="111">
        <v>122.2</v>
      </c>
      <c r="H12" s="12" t="s">
        <v>42</v>
      </c>
      <c r="I12" s="3"/>
      <c r="J12" s="112">
        <v>0</v>
      </c>
      <c r="K12" s="112">
        <v>0</v>
      </c>
      <c r="L12" s="112">
        <v>6543.75</v>
      </c>
      <c r="M12" s="112">
        <v>16365</v>
      </c>
      <c r="N12" s="112">
        <v>9817.5</v>
      </c>
      <c r="O12" s="3"/>
      <c r="P12" s="8">
        <f t="shared" si="1"/>
        <v>0</v>
      </c>
      <c r="Q12" s="8">
        <f t="shared" si="2"/>
        <v>0</v>
      </c>
      <c r="R12" s="8">
        <f t="shared" si="3"/>
        <v>799646.25</v>
      </c>
      <c r="S12" s="8">
        <f t="shared" si="4"/>
        <v>1999803</v>
      </c>
      <c r="T12" s="8">
        <f t="shared" si="5"/>
        <v>1199698.5</v>
      </c>
    </row>
    <row r="13" spans="1:25" s="100" customFormat="1" ht="12.75" customHeight="1" x14ac:dyDescent="0.2">
      <c r="A13" s="7"/>
      <c r="C13" s="108" t="s">
        <v>55</v>
      </c>
      <c r="D13" s="109" t="s">
        <v>5</v>
      </c>
      <c r="E13" s="110" t="s">
        <v>2</v>
      </c>
      <c r="F13" s="3"/>
      <c r="G13" s="111">
        <v>122.2</v>
      </c>
      <c r="H13" s="12" t="s">
        <v>42</v>
      </c>
      <c r="I13" s="3"/>
      <c r="J13" s="112">
        <v>8182.5</v>
      </c>
      <c r="K13" s="112">
        <v>0</v>
      </c>
      <c r="L13" s="112">
        <v>0</v>
      </c>
      <c r="M13" s="112">
        <v>0</v>
      </c>
      <c r="N13" s="112">
        <v>0</v>
      </c>
      <c r="O13" s="3"/>
      <c r="P13" s="8">
        <f t="shared" si="1"/>
        <v>999901.5</v>
      </c>
      <c r="Q13" s="8">
        <f t="shared" si="2"/>
        <v>0</v>
      </c>
      <c r="R13" s="8">
        <f t="shared" si="3"/>
        <v>0</v>
      </c>
      <c r="S13" s="8">
        <f t="shared" si="4"/>
        <v>0</v>
      </c>
      <c r="T13" s="8">
        <f t="shared" si="5"/>
        <v>0</v>
      </c>
    </row>
    <row r="14" spans="1:25" s="100" customFormat="1" ht="12.75" customHeight="1" x14ac:dyDescent="0.2">
      <c r="A14" s="7"/>
      <c r="C14" s="108" t="s">
        <v>58</v>
      </c>
      <c r="D14" s="109" t="s">
        <v>5</v>
      </c>
      <c r="E14" s="110" t="s">
        <v>2</v>
      </c>
      <c r="F14" s="3"/>
      <c r="G14" s="111">
        <v>122.2</v>
      </c>
      <c r="H14" s="12" t="s">
        <v>42</v>
      </c>
      <c r="I14" s="3"/>
      <c r="J14" s="112">
        <v>326.25</v>
      </c>
      <c r="K14" s="112">
        <v>0</v>
      </c>
      <c r="L14" s="112">
        <v>0</v>
      </c>
      <c r="M14" s="112">
        <v>0</v>
      </c>
      <c r="N14" s="112">
        <v>0</v>
      </c>
      <c r="O14" s="3"/>
      <c r="P14" s="8">
        <f t="shared" si="1"/>
        <v>39867.75</v>
      </c>
      <c r="Q14" s="8">
        <f t="shared" si="2"/>
        <v>0</v>
      </c>
      <c r="R14" s="8">
        <f t="shared" si="3"/>
        <v>0</v>
      </c>
      <c r="S14" s="8">
        <f t="shared" si="4"/>
        <v>0</v>
      </c>
      <c r="T14" s="8">
        <f t="shared" si="5"/>
        <v>0</v>
      </c>
    </row>
    <row r="15" spans="1:25" s="100" customFormat="1" ht="12.75" customHeight="1" x14ac:dyDescent="0.2">
      <c r="A15" s="7"/>
      <c r="C15" s="108" t="s">
        <v>57</v>
      </c>
      <c r="D15" s="109" t="s">
        <v>5</v>
      </c>
      <c r="E15" s="110" t="s">
        <v>2</v>
      </c>
      <c r="F15" s="3"/>
      <c r="G15" s="111">
        <v>122.2</v>
      </c>
      <c r="H15" s="12" t="s">
        <v>42</v>
      </c>
      <c r="I15" s="3"/>
      <c r="J15" s="112">
        <v>6500</v>
      </c>
      <c r="K15" s="112">
        <v>6500</v>
      </c>
      <c r="L15" s="112">
        <v>6500</v>
      </c>
      <c r="M15" s="112">
        <v>6500</v>
      </c>
      <c r="N15" s="112">
        <v>6500</v>
      </c>
      <c r="O15" s="3"/>
      <c r="P15" s="8">
        <f t="shared" si="1"/>
        <v>794300</v>
      </c>
      <c r="Q15" s="8">
        <f t="shared" si="2"/>
        <v>794300</v>
      </c>
      <c r="R15" s="8">
        <f t="shared" si="3"/>
        <v>794300</v>
      </c>
      <c r="S15" s="8">
        <f t="shared" si="4"/>
        <v>794300</v>
      </c>
      <c r="T15" s="8">
        <f t="shared" si="5"/>
        <v>794300</v>
      </c>
    </row>
    <row r="16" spans="1:25" ht="12.75" customHeight="1" x14ac:dyDescent="0.25">
      <c r="A16" s="7" t="str">
        <f>IF(ISBLANK(B16),"",1+MAX(A$6:A12))</f>
        <v/>
      </c>
      <c r="C16" s="108" t="s">
        <v>64</v>
      </c>
      <c r="D16" s="109" t="s">
        <v>5</v>
      </c>
      <c r="E16" s="110" t="s">
        <v>2</v>
      </c>
      <c r="F16" s="3"/>
      <c r="G16" s="111">
        <v>122.2</v>
      </c>
      <c r="H16" s="12" t="s">
        <v>42</v>
      </c>
      <c r="I16" s="3"/>
      <c r="J16" s="112">
        <v>0</v>
      </c>
      <c r="K16" s="112">
        <v>0</v>
      </c>
      <c r="L16" s="112">
        <v>0</v>
      </c>
      <c r="M16" s="112">
        <v>0</v>
      </c>
      <c r="N16" s="112">
        <v>326.25</v>
      </c>
      <c r="O16" s="3"/>
      <c r="P16" s="8">
        <f t="shared" si="1"/>
        <v>0</v>
      </c>
      <c r="Q16" s="8">
        <f t="shared" si="2"/>
        <v>0</v>
      </c>
      <c r="R16" s="8">
        <f t="shared" si="3"/>
        <v>0</v>
      </c>
      <c r="S16" s="8">
        <f t="shared" si="4"/>
        <v>0</v>
      </c>
      <c r="T16" s="8">
        <f t="shared" si="5"/>
        <v>39867.75</v>
      </c>
      <c r="Y16"/>
    </row>
    <row r="17" spans="1:25" ht="12.75" customHeight="1" x14ac:dyDescent="0.25">
      <c r="A17" s="7" t="str">
        <f>IF(ISBLANK(B17),"",1+MAX(A$6:A16))</f>
        <v/>
      </c>
      <c r="C17" s="108" t="s">
        <v>56</v>
      </c>
      <c r="D17" s="109" t="s">
        <v>5</v>
      </c>
      <c r="E17" s="110" t="s">
        <v>2</v>
      </c>
      <c r="F17" s="3"/>
      <c r="G17" s="111">
        <v>122.2</v>
      </c>
      <c r="H17" s="12" t="s">
        <v>42</v>
      </c>
      <c r="I17" s="3"/>
      <c r="J17" s="112">
        <v>0</v>
      </c>
      <c r="K17" s="112">
        <v>0</v>
      </c>
      <c r="L17" s="112">
        <v>0</v>
      </c>
      <c r="M17" s="112">
        <v>6543.75</v>
      </c>
      <c r="N17" s="112">
        <v>3273.75</v>
      </c>
      <c r="O17" s="3"/>
      <c r="P17" s="8">
        <f t="shared" si="1"/>
        <v>0</v>
      </c>
      <c r="Q17" s="8">
        <f t="shared" si="2"/>
        <v>0</v>
      </c>
      <c r="R17" s="8">
        <f t="shared" si="3"/>
        <v>0</v>
      </c>
      <c r="S17" s="8">
        <f t="shared" si="4"/>
        <v>799646.25</v>
      </c>
      <c r="T17" s="8">
        <f t="shared" si="5"/>
        <v>400052.25</v>
      </c>
      <c r="Y17"/>
    </row>
    <row r="18" spans="1:25" ht="12.75" customHeight="1" x14ac:dyDescent="0.25">
      <c r="A18" s="7" t="str">
        <f>IF(ISBLANK(B18),"",1+MAX(A$6:A17))</f>
        <v/>
      </c>
      <c r="C18" s="116" t="s">
        <v>61</v>
      </c>
      <c r="D18" s="109" t="s">
        <v>5</v>
      </c>
      <c r="E18" s="110" t="s">
        <v>2</v>
      </c>
      <c r="F18" s="3"/>
      <c r="G18" s="111">
        <v>122.2</v>
      </c>
      <c r="H18" s="12" t="s">
        <v>42</v>
      </c>
      <c r="I18" s="3"/>
      <c r="J18" s="115"/>
      <c r="K18" s="115">
        <v>2850</v>
      </c>
      <c r="L18" s="115"/>
      <c r="M18" s="114"/>
      <c r="N18" s="115"/>
      <c r="O18" s="3"/>
      <c r="P18" s="8">
        <f t="shared" si="1"/>
        <v>0</v>
      </c>
      <c r="Q18" s="8">
        <f t="shared" si="2"/>
        <v>348270</v>
      </c>
      <c r="R18" s="8">
        <f t="shared" si="3"/>
        <v>0</v>
      </c>
      <c r="S18" s="8">
        <f t="shared" si="4"/>
        <v>0</v>
      </c>
      <c r="T18" s="8">
        <f t="shared" si="5"/>
        <v>0</v>
      </c>
      <c r="Y18"/>
    </row>
    <row r="19" spans="1:25" ht="12.75" customHeight="1" x14ac:dyDescent="0.25">
      <c r="A19" s="7" t="str">
        <f>IF(ISBLANK(B19),"",1+MAX(A$6:A18))</f>
        <v/>
      </c>
      <c r="C19" s="116" t="s">
        <v>62</v>
      </c>
      <c r="D19" s="109" t="s">
        <v>5</v>
      </c>
      <c r="E19" s="110" t="s">
        <v>2</v>
      </c>
      <c r="F19" s="3"/>
      <c r="G19" s="111">
        <v>122.2</v>
      </c>
      <c r="H19" s="12" t="s">
        <v>42</v>
      </c>
      <c r="I19" s="3"/>
      <c r="J19" s="114"/>
      <c r="K19" s="115">
        <v>3150</v>
      </c>
      <c r="L19" s="114"/>
      <c r="M19" s="115"/>
      <c r="N19" s="114"/>
      <c r="O19" s="3"/>
      <c r="P19" s="8">
        <f t="shared" si="1"/>
        <v>0</v>
      </c>
      <c r="Q19" s="8">
        <f t="shared" si="2"/>
        <v>384930</v>
      </c>
      <c r="R19" s="8">
        <f t="shared" si="3"/>
        <v>0</v>
      </c>
      <c r="S19" s="8">
        <f t="shared" si="4"/>
        <v>0</v>
      </c>
      <c r="T19" s="8">
        <f t="shared" si="5"/>
        <v>0</v>
      </c>
      <c r="Y19"/>
    </row>
    <row r="20" spans="1:25" ht="12.75" customHeight="1" x14ac:dyDescent="0.25">
      <c r="A20" s="7" t="str">
        <f>IF(ISBLANK(B20),"",1+MAX(A$6:A19))</f>
        <v/>
      </c>
      <c r="F20" s="3"/>
      <c r="I20" s="3"/>
      <c r="O20" s="3"/>
      <c r="Y20"/>
    </row>
    <row r="21" spans="1:25" ht="12.75" customHeight="1" x14ac:dyDescent="0.25">
      <c r="A21" s="7"/>
      <c r="F21" s="3"/>
      <c r="I21" s="3"/>
      <c r="O21" s="3"/>
      <c r="Y21"/>
    </row>
    <row r="22" spans="1:25" ht="12.75" customHeight="1" x14ac:dyDescent="0.25">
      <c r="A22" s="7" t="str">
        <f>IF(ISBLANK(B22),"",1+MAX(A$6:A21))</f>
        <v/>
      </c>
      <c r="C22" s="108" t="s">
        <v>54</v>
      </c>
      <c r="D22" s="109" t="s">
        <v>5</v>
      </c>
      <c r="E22" s="110" t="s">
        <v>1</v>
      </c>
      <c r="F22" s="3"/>
      <c r="G22" s="125">
        <v>800000</v>
      </c>
      <c r="H22" s="12" t="s">
        <v>43</v>
      </c>
      <c r="I22" s="3"/>
      <c r="J22" s="114">
        <v>0</v>
      </c>
      <c r="K22" s="114">
        <v>0</v>
      </c>
      <c r="L22" s="114">
        <v>1</v>
      </c>
      <c r="M22" s="115">
        <v>1.5</v>
      </c>
      <c r="N22" s="114">
        <v>0</v>
      </c>
      <c r="O22" s="3"/>
      <c r="P22" s="8">
        <f t="shared" ref="P22:T22" si="6">J22*$G22</f>
        <v>0</v>
      </c>
      <c r="Q22" s="8">
        <f t="shared" si="6"/>
        <v>0</v>
      </c>
      <c r="R22" s="8">
        <f t="shared" si="6"/>
        <v>800000</v>
      </c>
      <c r="S22" s="8">
        <f t="shared" si="6"/>
        <v>1200000</v>
      </c>
      <c r="T22" s="8">
        <f t="shared" si="6"/>
        <v>0</v>
      </c>
      <c r="Y22"/>
    </row>
    <row r="23" spans="1:25" s="100" customFormat="1" ht="12.75" customHeight="1" x14ac:dyDescent="0.25">
      <c r="A23" s="7"/>
      <c r="C23" s="108" t="s">
        <v>53</v>
      </c>
      <c r="D23" s="109" t="s">
        <v>5</v>
      </c>
      <c r="E23" s="110" t="s">
        <v>1</v>
      </c>
      <c r="F23" s="3"/>
      <c r="G23" s="125">
        <v>3000000</v>
      </c>
      <c r="H23" s="12" t="s">
        <v>43</v>
      </c>
      <c r="I23" s="3"/>
      <c r="J23" s="114">
        <v>0</v>
      </c>
      <c r="K23" s="114">
        <v>0</v>
      </c>
      <c r="L23" s="114">
        <v>1</v>
      </c>
      <c r="M23" s="114">
        <v>1</v>
      </c>
      <c r="N23" s="114">
        <v>0</v>
      </c>
      <c r="O23" s="3"/>
      <c r="P23" s="8">
        <f t="shared" ref="P23:P30" si="7">J23*$G23</f>
        <v>0</v>
      </c>
      <c r="Q23" s="8">
        <f t="shared" ref="Q23:Q30" si="8">K23*$G23</f>
        <v>0</v>
      </c>
      <c r="R23" s="8">
        <f t="shared" ref="R23:R30" si="9">L23*$G23</f>
        <v>3000000</v>
      </c>
      <c r="S23" s="8">
        <f t="shared" ref="S23:S30" si="10">M23*$G23</f>
        <v>3000000</v>
      </c>
      <c r="T23" s="8">
        <f t="shared" ref="T23:T30" si="11">N23*$G23</f>
        <v>0</v>
      </c>
      <c r="Y23"/>
    </row>
    <row r="24" spans="1:25" s="100" customFormat="1" ht="12" customHeight="1" x14ac:dyDescent="0.25">
      <c r="A24" s="7"/>
      <c r="C24" s="108" t="s">
        <v>63</v>
      </c>
      <c r="D24" s="109" t="s">
        <v>5</v>
      </c>
      <c r="E24" s="110" t="s">
        <v>1</v>
      </c>
      <c r="F24" s="3"/>
      <c r="G24" s="125">
        <v>800000</v>
      </c>
      <c r="H24" s="12" t="s">
        <v>43</v>
      </c>
      <c r="I24" s="3"/>
      <c r="J24" s="114">
        <v>0</v>
      </c>
      <c r="K24" s="114">
        <v>0</v>
      </c>
      <c r="L24" s="114">
        <v>1</v>
      </c>
      <c r="M24" s="115">
        <v>2.5</v>
      </c>
      <c r="N24" s="114">
        <v>1.5</v>
      </c>
      <c r="O24" s="3"/>
      <c r="P24" s="8">
        <f t="shared" si="7"/>
        <v>0</v>
      </c>
      <c r="Q24" s="8">
        <f t="shared" si="8"/>
        <v>0</v>
      </c>
      <c r="R24" s="8">
        <f t="shared" si="9"/>
        <v>800000</v>
      </c>
      <c r="S24" s="8">
        <f t="shared" si="10"/>
        <v>2000000</v>
      </c>
      <c r="T24" s="8">
        <f t="shared" si="11"/>
        <v>1200000</v>
      </c>
      <c r="Y24"/>
    </row>
    <row r="25" spans="1:25" s="100" customFormat="1" ht="12" customHeight="1" x14ac:dyDescent="0.25">
      <c r="A25" s="7"/>
      <c r="C25" s="108" t="s">
        <v>55</v>
      </c>
      <c r="D25" s="109" t="s">
        <v>5</v>
      </c>
      <c r="E25" s="110" t="s">
        <v>1</v>
      </c>
      <c r="F25" s="3"/>
      <c r="G25" s="125">
        <v>1000000</v>
      </c>
      <c r="H25" s="12" t="s">
        <v>43</v>
      </c>
      <c r="I25" s="3"/>
      <c r="J25" s="114">
        <v>1</v>
      </c>
      <c r="K25" s="114">
        <v>0</v>
      </c>
      <c r="L25" s="114">
        <v>0</v>
      </c>
      <c r="M25" s="114">
        <v>0</v>
      </c>
      <c r="N25" s="114">
        <v>0</v>
      </c>
      <c r="O25" s="3"/>
      <c r="P25" s="8">
        <f t="shared" si="7"/>
        <v>1000000</v>
      </c>
      <c r="Q25" s="8">
        <f t="shared" si="8"/>
        <v>0</v>
      </c>
      <c r="R25" s="8">
        <f t="shared" si="9"/>
        <v>0</v>
      </c>
      <c r="S25" s="8">
        <f t="shared" si="10"/>
        <v>0</v>
      </c>
      <c r="T25" s="8">
        <f t="shared" si="11"/>
        <v>0</v>
      </c>
      <c r="Y25"/>
    </row>
    <row r="26" spans="1:25" s="100" customFormat="1" ht="12" customHeight="1" x14ac:dyDescent="0.25">
      <c r="A26" s="7"/>
      <c r="C26" s="108" t="s">
        <v>58</v>
      </c>
      <c r="D26" s="109" t="s">
        <v>5</v>
      </c>
      <c r="E26" s="110" t="s">
        <v>1</v>
      </c>
      <c r="F26" s="3"/>
      <c r="G26" s="125">
        <v>40000</v>
      </c>
      <c r="H26" s="12" t="s">
        <v>43</v>
      </c>
      <c r="I26" s="3"/>
      <c r="J26" s="114">
        <v>1</v>
      </c>
      <c r="K26" s="114">
        <v>0</v>
      </c>
      <c r="L26" s="114">
        <v>0</v>
      </c>
      <c r="M26" s="114">
        <v>0</v>
      </c>
      <c r="N26" s="114">
        <v>0</v>
      </c>
      <c r="O26" s="3"/>
      <c r="P26" s="8">
        <f t="shared" si="7"/>
        <v>40000</v>
      </c>
      <c r="Q26" s="8">
        <f t="shared" si="8"/>
        <v>0</v>
      </c>
      <c r="R26" s="8">
        <f t="shared" si="9"/>
        <v>0</v>
      </c>
      <c r="S26" s="8">
        <f t="shared" si="10"/>
        <v>0</v>
      </c>
      <c r="T26" s="8">
        <f t="shared" si="11"/>
        <v>0</v>
      </c>
      <c r="Y26"/>
    </row>
    <row r="27" spans="1:25" s="100" customFormat="1" ht="12" customHeight="1" x14ac:dyDescent="0.25">
      <c r="A27" s="7"/>
      <c r="C27" s="108" t="s">
        <v>57</v>
      </c>
      <c r="D27" s="109" t="s">
        <v>5</v>
      </c>
      <c r="E27" s="110" t="s">
        <v>1</v>
      </c>
      <c r="F27" s="3"/>
      <c r="G27" s="125">
        <v>800000</v>
      </c>
      <c r="H27" s="12" t="s">
        <v>43</v>
      </c>
      <c r="I27" s="3"/>
      <c r="J27" s="114">
        <v>0</v>
      </c>
      <c r="K27" s="114">
        <v>0</v>
      </c>
      <c r="L27" s="114">
        <v>0</v>
      </c>
      <c r="M27" s="114">
        <v>1</v>
      </c>
      <c r="N27" s="114">
        <v>1</v>
      </c>
      <c r="O27" s="3"/>
      <c r="P27" s="8">
        <f t="shared" si="7"/>
        <v>0</v>
      </c>
      <c r="Q27" s="8">
        <f t="shared" si="8"/>
        <v>0</v>
      </c>
      <c r="R27" s="8">
        <f t="shared" si="9"/>
        <v>0</v>
      </c>
      <c r="S27" s="8">
        <f t="shared" si="10"/>
        <v>800000</v>
      </c>
      <c r="T27" s="8">
        <f t="shared" si="11"/>
        <v>800000</v>
      </c>
      <c r="Y27"/>
    </row>
    <row r="28" spans="1:25" s="100" customFormat="1" ht="12.75" customHeight="1" x14ac:dyDescent="0.25">
      <c r="A28" s="7"/>
      <c r="C28" s="108" t="s">
        <v>64</v>
      </c>
      <c r="D28" s="109" t="s">
        <v>5</v>
      </c>
      <c r="E28" s="110" t="s">
        <v>1</v>
      </c>
      <c r="F28" s="3"/>
      <c r="G28" s="125">
        <v>40000</v>
      </c>
      <c r="H28" s="12" t="s">
        <v>43</v>
      </c>
      <c r="I28" s="3"/>
      <c r="J28" s="114">
        <v>0</v>
      </c>
      <c r="K28" s="114">
        <v>0</v>
      </c>
      <c r="L28" s="114">
        <v>0</v>
      </c>
      <c r="M28" s="114">
        <v>0</v>
      </c>
      <c r="N28" s="114">
        <v>1</v>
      </c>
      <c r="O28" s="3"/>
      <c r="P28" s="8">
        <f t="shared" si="7"/>
        <v>0</v>
      </c>
      <c r="Q28" s="8">
        <f t="shared" si="8"/>
        <v>0</v>
      </c>
      <c r="R28" s="8">
        <f t="shared" si="9"/>
        <v>0</v>
      </c>
      <c r="S28" s="8">
        <f t="shared" si="10"/>
        <v>0</v>
      </c>
      <c r="T28" s="8">
        <f t="shared" si="11"/>
        <v>40000</v>
      </c>
      <c r="Y28"/>
    </row>
    <row r="29" spans="1:25" s="100" customFormat="1" ht="12.75" customHeight="1" x14ac:dyDescent="0.25">
      <c r="A29" s="7"/>
      <c r="C29" s="108" t="s">
        <v>56</v>
      </c>
      <c r="D29" s="109" t="s">
        <v>5</v>
      </c>
      <c r="E29" s="110" t="s">
        <v>1</v>
      </c>
      <c r="F29" s="3"/>
      <c r="G29" s="125">
        <v>400000</v>
      </c>
      <c r="H29" s="12" t="s">
        <v>43</v>
      </c>
      <c r="I29" s="3"/>
      <c r="J29" s="114">
        <v>0</v>
      </c>
      <c r="K29" s="114">
        <v>0</v>
      </c>
      <c r="L29" s="114">
        <v>0</v>
      </c>
      <c r="M29" s="115">
        <v>2</v>
      </c>
      <c r="N29" s="114">
        <v>1</v>
      </c>
      <c r="O29" s="3"/>
      <c r="P29" s="8">
        <f t="shared" si="7"/>
        <v>0</v>
      </c>
      <c r="Q29" s="8">
        <f t="shared" si="8"/>
        <v>0</v>
      </c>
      <c r="R29" s="8">
        <f t="shared" si="9"/>
        <v>0</v>
      </c>
      <c r="S29" s="8">
        <f t="shared" si="10"/>
        <v>800000</v>
      </c>
      <c r="T29" s="8">
        <f t="shared" si="11"/>
        <v>400000</v>
      </c>
      <c r="Y29"/>
    </row>
    <row r="30" spans="1:25" ht="12.75" customHeight="1" x14ac:dyDescent="0.25">
      <c r="A30" s="7" t="str">
        <f>IF(ISBLANK(B30),"",1+MAX(A$6:A22))</f>
        <v/>
      </c>
      <c r="C30" s="108" t="s">
        <v>62</v>
      </c>
      <c r="D30" s="109" t="s">
        <v>5</v>
      </c>
      <c r="E30" s="110" t="s">
        <v>1</v>
      </c>
      <c r="F30" s="3"/>
      <c r="G30" s="125">
        <v>200000</v>
      </c>
      <c r="H30" s="12" t="s">
        <v>43</v>
      </c>
      <c r="I30" s="3"/>
      <c r="J30" s="114"/>
      <c r="K30" s="115">
        <v>1</v>
      </c>
      <c r="L30" s="114"/>
      <c r="M30" s="115"/>
      <c r="N30" s="114"/>
      <c r="O30" s="3"/>
      <c r="P30" s="8">
        <f t="shared" si="7"/>
        <v>0</v>
      </c>
      <c r="Q30" s="8">
        <f t="shared" si="8"/>
        <v>200000</v>
      </c>
      <c r="R30" s="8">
        <f t="shared" si="9"/>
        <v>0</v>
      </c>
      <c r="S30" s="8">
        <f t="shared" si="10"/>
        <v>0</v>
      </c>
      <c r="T30" s="8">
        <f t="shared" si="11"/>
        <v>0</v>
      </c>
      <c r="Y30"/>
    </row>
    <row r="31" spans="1:25" ht="12.75" customHeight="1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Y31"/>
    </row>
    <row r="32" spans="1:25" ht="12.75" customHeight="1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Y32"/>
    </row>
    <row r="33" spans="1:25" ht="12.75" customHeight="1" x14ac:dyDescent="0.2">
      <c r="A33" s="7" t="str">
        <f>IF(ISBLANK(B33),"",1+MAX(A$6:A32))</f>
        <v/>
      </c>
      <c r="C33" s="108" t="s">
        <v>54</v>
      </c>
      <c r="D33" s="109" t="s">
        <v>5</v>
      </c>
      <c r="E33" s="110" t="s">
        <v>4</v>
      </c>
      <c r="G33" s="6"/>
      <c r="H33" s="13" t="s">
        <v>44</v>
      </c>
      <c r="J33" s="112">
        <v>0</v>
      </c>
      <c r="K33" s="112">
        <v>0</v>
      </c>
      <c r="L33" s="112">
        <v>400000</v>
      </c>
      <c r="M33" s="112">
        <v>600000</v>
      </c>
      <c r="N33" s="112">
        <v>0</v>
      </c>
      <c r="P33" s="8">
        <f t="shared" ref="P33:T42" si="12">J33</f>
        <v>0</v>
      </c>
      <c r="Q33" s="8">
        <f t="shared" si="12"/>
        <v>0</v>
      </c>
      <c r="R33" s="8">
        <f t="shared" si="12"/>
        <v>400000</v>
      </c>
      <c r="S33" s="8">
        <f t="shared" si="12"/>
        <v>600000</v>
      </c>
      <c r="T33" s="8">
        <f t="shared" si="12"/>
        <v>0</v>
      </c>
    </row>
    <row r="34" spans="1:25" s="100" customFormat="1" ht="12.75" customHeight="1" x14ac:dyDescent="0.2">
      <c r="A34" s="7"/>
      <c r="C34" s="108" t="s">
        <v>53</v>
      </c>
      <c r="D34" s="109" t="s">
        <v>5</v>
      </c>
      <c r="E34" s="110" t="s">
        <v>4</v>
      </c>
      <c r="G34" s="6"/>
      <c r="H34" s="13" t="s">
        <v>44</v>
      </c>
      <c r="J34" s="112">
        <v>0</v>
      </c>
      <c r="K34" s="112">
        <v>0</v>
      </c>
      <c r="L34" s="112">
        <v>1500000</v>
      </c>
      <c r="M34" s="112">
        <v>1500000</v>
      </c>
      <c r="N34" s="112">
        <v>0</v>
      </c>
      <c r="P34" s="8">
        <f t="shared" ref="P34:P41" si="13">J34</f>
        <v>0</v>
      </c>
      <c r="Q34" s="8">
        <f t="shared" ref="Q34:Q41" si="14">K34</f>
        <v>0</v>
      </c>
      <c r="R34" s="8">
        <f t="shared" ref="R34:R41" si="15">L34</f>
        <v>1500000</v>
      </c>
      <c r="S34" s="8">
        <f t="shared" ref="S34:S41" si="16">M34</f>
        <v>1500000</v>
      </c>
      <c r="T34" s="8">
        <f t="shared" ref="T34:T41" si="17">N34</f>
        <v>0</v>
      </c>
    </row>
    <row r="35" spans="1:25" s="100" customFormat="1" ht="12.75" customHeight="1" x14ac:dyDescent="0.2">
      <c r="A35" s="7"/>
      <c r="C35" s="108" t="s">
        <v>63</v>
      </c>
      <c r="D35" s="109" t="s">
        <v>5</v>
      </c>
      <c r="E35" s="110" t="s">
        <v>4</v>
      </c>
      <c r="G35" s="6"/>
      <c r="H35" s="13" t="s">
        <v>44</v>
      </c>
      <c r="J35" s="112">
        <v>0</v>
      </c>
      <c r="K35" s="112">
        <v>0</v>
      </c>
      <c r="L35" s="112">
        <v>400000</v>
      </c>
      <c r="M35" s="112">
        <v>1000000</v>
      </c>
      <c r="N35" s="112">
        <v>600000</v>
      </c>
      <c r="P35" s="8">
        <f t="shared" si="13"/>
        <v>0</v>
      </c>
      <c r="Q35" s="8">
        <f t="shared" si="14"/>
        <v>0</v>
      </c>
      <c r="R35" s="8">
        <f t="shared" si="15"/>
        <v>400000</v>
      </c>
      <c r="S35" s="8">
        <f t="shared" si="16"/>
        <v>1000000</v>
      </c>
      <c r="T35" s="8">
        <f t="shared" si="17"/>
        <v>600000</v>
      </c>
    </row>
    <row r="36" spans="1:25" s="100" customFormat="1" ht="12.75" customHeight="1" x14ac:dyDescent="0.2">
      <c r="A36" s="7"/>
      <c r="C36" s="108" t="s">
        <v>55</v>
      </c>
      <c r="D36" s="109" t="s">
        <v>5</v>
      </c>
      <c r="E36" s="110" t="s">
        <v>4</v>
      </c>
      <c r="G36" s="6"/>
      <c r="H36" s="13" t="s">
        <v>44</v>
      </c>
      <c r="J36" s="112">
        <v>500000</v>
      </c>
      <c r="K36" s="112">
        <v>0</v>
      </c>
      <c r="L36" s="112">
        <v>0</v>
      </c>
      <c r="M36" s="112">
        <v>0</v>
      </c>
      <c r="N36" s="112">
        <v>0</v>
      </c>
      <c r="P36" s="8">
        <f t="shared" si="13"/>
        <v>500000</v>
      </c>
      <c r="Q36" s="8">
        <f t="shared" si="14"/>
        <v>0</v>
      </c>
      <c r="R36" s="8">
        <f t="shared" si="15"/>
        <v>0</v>
      </c>
      <c r="S36" s="8">
        <f t="shared" si="16"/>
        <v>0</v>
      </c>
      <c r="T36" s="8">
        <f t="shared" si="17"/>
        <v>0</v>
      </c>
    </row>
    <row r="37" spans="1:25" s="100" customFormat="1" ht="12.75" customHeight="1" x14ac:dyDescent="0.2">
      <c r="A37" s="7"/>
      <c r="C37" s="108" t="s">
        <v>58</v>
      </c>
      <c r="D37" s="109" t="s">
        <v>5</v>
      </c>
      <c r="E37" s="110" t="s">
        <v>4</v>
      </c>
      <c r="G37" s="6"/>
      <c r="H37" s="13" t="s">
        <v>44</v>
      </c>
      <c r="J37" s="112">
        <v>20000</v>
      </c>
      <c r="K37" s="112">
        <v>0</v>
      </c>
      <c r="L37" s="112">
        <v>0</v>
      </c>
      <c r="M37" s="112">
        <v>0</v>
      </c>
      <c r="N37" s="112">
        <v>0</v>
      </c>
      <c r="P37" s="8">
        <f t="shared" si="13"/>
        <v>20000</v>
      </c>
      <c r="Q37" s="8">
        <f t="shared" si="14"/>
        <v>0</v>
      </c>
      <c r="R37" s="8">
        <f t="shared" si="15"/>
        <v>0</v>
      </c>
      <c r="S37" s="8">
        <f t="shared" si="16"/>
        <v>0</v>
      </c>
      <c r="T37" s="8">
        <f t="shared" si="17"/>
        <v>0</v>
      </c>
    </row>
    <row r="38" spans="1:25" s="100" customFormat="1" ht="12.75" customHeight="1" x14ac:dyDescent="0.2">
      <c r="A38" s="7"/>
      <c r="C38" s="108" t="s">
        <v>57</v>
      </c>
      <c r="D38" s="109" t="s">
        <v>5</v>
      </c>
      <c r="E38" s="110" t="s">
        <v>4</v>
      </c>
      <c r="G38" s="6"/>
      <c r="H38" s="13" t="s">
        <v>44</v>
      </c>
      <c r="J38" s="112">
        <v>0</v>
      </c>
      <c r="K38" s="112">
        <v>0</v>
      </c>
      <c r="L38" s="112">
        <v>0</v>
      </c>
      <c r="M38" s="112">
        <v>400000</v>
      </c>
      <c r="N38" s="112">
        <v>400000</v>
      </c>
      <c r="P38" s="8">
        <f t="shared" si="13"/>
        <v>0</v>
      </c>
      <c r="Q38" s="8">
        <f t="shared" si="14"/>
        <v>0</v>
      </c>
      <c r="R38" s="8">
        <f t="shared" si="15"/>
        <v>0</v>
      </c>
      <c r="S38" s="8">
        <f t="shared" si="16"/>
        <v>400000</v>
      </c>
      <c r="T38" s="8">
        <f t="shared" si="17"/>
        <v>400000</v>
      </c>
    </row>
    <row r="39" spans="1:25" s="100" customFormat="1" ht="12.75" customHeight="1" x14ac:dyDescent="0.2">
      <c r="A39" s="7"/>
      <c r="C39" s="108" t="s">
        <v>64</v>
      </c>
      <c r="D39" s="109" t="s">
        <v>5</v>
      </c>
      <c r="E39" s="110" t="s">
        <v>4</v>
      </c>
      <c r="G39" s="6"/>
      <c r="H39" s="13" t="s">
        <v>44</v>
      </c>
      <c r="J39" s="112">
        <v>0</v>
      </c>
      <c r="K39" s="112">
        <v>0</v>
      </c>
      <c r="L39" s="112">
        <v>0</v>
      </c>
      <c r="M39" s="112">
        <v>0</v>
      </c>
      <c r="N39" s="112">
        <v>20000</v>
      </c>
      <c r="P39" s="8">
        <f t="shared" si="13"/>
        <v>0</v>
      </c>
      <c r="Q39" s="8">
        <f t="shared" si="14"/>
        <v>0</v>
      </c>
      <c r="R39" s="8">
        <f t="shared" si="15"/>
        <v>0</v>
      </c>
      <c r="S39" s="8">
        <f t="shared" si="16"/>
        <v>0</v>
      </c>
      <c r="T39" s="8">
        <f t="shared" si="17"/>
        <v>20000</v>
      </c>
    </row>
    <row r="40" spans="1:25" s="100" customFormat="1" ht="12.75" customHeight="1" x14ac:dyDescent="0.2">
      <c r="A40" s="7"/>
      <c r="C40" s="108" t="s">
        <v>56</v>
      </c>
      <c r="D40" s="109" t="s">
        <v>5</v>
      </c>
      <c r="E40" s="110" t="s">
        <v>4</v>
      </c>
      <c r="G40" s="6"/>
      <c r="H40" s="13" t="s">
        <v>44</v>
      </c>
      <c r="J40" s="112">
        <v>0</v>
      </c>
      <c r="K40" s="112">
        <v>0</v>
      </c>
      <c r="L40" s="112">
        <v>0</v>
      </c>
      <c r="M40" s="112">
        <v>400000</v>
      </c>
      <c r="N40" s="112">
        <v>200000</v>
      </c>
      <c r="P40" s="8">
        <f t="shared" si="13"/>
        <v>0</v>
      </c>
      <c r="Q40" s="8">
        <f t="shared" si="14"/>
        <v>0</v>
      </c>
      <c r="R40" s="8">
        <f t="shared" si="15"/>
        <v>0</v>
      </c>
      <c r="S40" s="8">
        <f t="shared" si="16"/>
        <v>400000</v>
      </c>
      <c r="T40" s="8">
        <f t="shared" si="17"/>
        <v>200000</v>
      </c>
    </row>
    <row r="41" spans="1:25" s="100" customFormat="1" ht="12.75" customHeight="1" x14ac:dyDescent="0.2">
      <c r="A41" s="7"/>
      <c r="C41" s="108" t="s">
        <v>62</v>
      </c>
      <c r="D41" s="109" t="s">
        <v>5</v>
      </c>
      <c r="E41" s="110" t="s">
        <v>4</v>
      </c>
      <c r="G41" s="6"/>
      <c r="H41" s="13" t="s">
        <v>44</v>
      </c>
      <c r="J41" s="112"/>
      <c r="K41" s="112">
        <v>1100000</v>
      </c>
      <c r="L41" s="112"/>
      <c r="M41" s="112"/>
      <c r="N41" s="112"/>
      <c r="P41" s="8">
        <f t="shared" si="13"/>
        <v>0</v>
      </c>
      <c r="Q41" s="8">
        <f t="shared" si="14"/>
        <v>1100000</v>
      </c>
      <c r="R41" s="8">
        <f t="shared" si="15"/>
        <v>0</v>
      </c>
      <c r="S41" s="8">
        <f t="shared" si="16"/>
        <v>0</v>
      </c>
      <c r="T41" s="8">
        <f t="shared" si="17"/>
        <v>0</v>
      </c>
    </row>
    <row r="42" spans="1:25" ht="12.75" customHeight="1" x14ac:dyDescent="0.2">
      <c r="A42" s="7"/>
      <c r="C42" s="108" t="s">
        <v>61</v>
      </c>
      <c r="D42" s="109" t="s">
        <v>5</v>
      </c>
      <c r="E42" s="110" t="s">
        <v>4</v>
      </c>
      <c r="G42" s="6"/>
      <c r="H42" s="13" t="s">
        <v>44</v>
      </c>
      <c r="J42" s="112"/>
      <c r="K42" s="112">
        <v>600000</v>
      </c>
      <c r="L42" s="112"/>
      <c r="M42" s="112"/>
      <c r="N42" s="112"/>
      <c r="P42" s="8">
        <f t="shared" si="12"/>
        <v>0</v>
      </c>
      <c r="Q42" s="8">
        <f t="shared" si="12"/>
        <v>600000</v>
      </c>
      <c r="R42" s="8">
        <f t="shared" si="12"/>
        <v>0</v>
      </c>
      <c r="S42" s="8">
        <f t="shared" si="12"/>
        <v>0</v>
      </c>
      <c r="T42" s="8">
        <f t="shared" si="12"/>
        <v>0</v>
      </c>
    </row>
    <row r="43" spans="1:25" ht="12.75" customHeight="1" x14ac:dyDescent="0.25">
      <c r="F43" s="100"/>
      <c r="I43" s="100"/>
      <c r="O43" s="100"/>
      <c r="Y43"/>
    </row>
    <row r="44" spans="1:25" ht="12.75" customHeight="1" x14ac:dyDescent="0.25">
      <c r="F44" s="100"/>
      <c r="I44" s="100"/>
      <c r="O44" s="100"/>
      <c r="Y44"/>
    </row>
    <row r="45" spans="1:25" ht="12.75" customHeight="1" x14ac:dyDescent="0.25">
      <c r="C45" s="5" t="s">
        <v>13</v>
      </c>
      <c r="F45" s="100"/>
      <c r="I45" s="100"/>
      <c r="O45" s="100"/>
      <c r="Y45"/>
    </row>
    <row r="46" spans="1:25" ht="12.75" customHeight="1" x14ac:dyDescent="0.2">
      <c r="C46" s="28" t="s">
        <v>2</v>
      </c>
      <c r="D46" s="28" t="s">
        <v>5</v>
      </c>
      <c r="E46" s="28"/>
      <c r="F46" s="100"/>
      <c r="G46" s="28"/>
      <c r="H46" s="29"/>
      <c r="I46" s="100"/>
      <c r="J46" s="28"/>
      <c r="K46" s="28"/>
      <c r="L46" s="28"/>
      <c r="M46" s="28"/>
      <c r="N46" s="28"/>
      <c r="O46" s="100"/>
      <c r="P46" s="30">
        <f t="shared" ref="P46:T51" si="18">SUMIFS(P$10:P$42,$E$10:$E$42,$C46,$D$10:$D$42,$D46)</f>
        <v>1834069.25</v>
      </c>
      <c r="Q46" s="30">
        <f t="shared" si="18"/>
        <v>1527500</v>
      </c>
      <c r="R46" s="30">
        <f t="shared" si="18"/>
        <v>5392838.75</v>
      </c>
      <c r="S46" s="30">
        <f t="shared" si="18"/>
        <v>7792694</v>
      </c>
      <c r="T46" s="30">
        <f t="shared" si="18"/>
        <v>2433918.5</v>
      </c>
    </row>
    <row r="47" spans="1:25" ht="12.75" customHeight="1" x14ac:dyDescent="0.2">
      <c r="C47" s="4" t="s">
        <v>1</v>
      </c>
      <c r="D47" s="4" t="s">
        <v>5</v>
      </c>
      <c r="E47" s="4"/>
      <c r="F47" s="100"/>
      <c r="G47" s="4"/>
      <c r="H47" s="13"/>
      <c r="I47" s="100"/>
      <c r="J47" s="4"/>
      <c r="K47" s="4"/>
      <c r="L47" s="4"/>
      <c r="M47" s="4"/>
      <c r="N47" s="4"/>
      <c r="O47" s="100"/>
      <c r="P47" s="9">
        <f t="shared" si="18"/>
        <v>1040000</v>
      </c>
      <c r="Q47" s="9">
        <f t="shared" si="18"/>
        <v>200000</v>
      </c>
      <c r="R47" s="9">
        <f t="shared" si="18"/>
        <v>4600000</v>
      </c>
      <c r="S47" s="9">
        <f t="shared" si="18"/>
        <v>7800000</v>
      </c>
      <c r="T47" s="9">
        <f t="shared" si="18"/>
        <v>2440000</v>
      </c>
    </row>
    <row r="48" spans="1:25" ht="12.75" customHeight="1" x14ac:dyDescent="0.2">
      <c r="C48" s="4" t="s">
        <v>4</v>
      </c>
      <c r="D48" s="4" t="s">
        <v>5</v>
      </c>
      <c r="E48" s="4"/>
      <c r="F48" s="100"/>
      <c r="G48" s="4"/>
      <c r="H48" s="13"/>
      <c r="I48" s="100"/>
      <c r="J48" s="4"/>
      <c r="K48" s="4"/>
      <c r="L48" s="4"/>
      <c r="M48" s="4"/>
      <c r="N48" s="4"/>
      <c r="O48" s="100"/>
      <c r="P48" s="9">
        <f t="shared" si="18"/>
        <v>520000</v>
      </c>
      <c r="Q48" s="9">
        <f t="shared" si="18"/>
        <v>1700000</v>
      </c>
      <c r="R48" s="9">
        <f t="shared" si="18"/>
        <v>2300000</v>
      </c>
      <c r="S48" s="9">
        <f t="shared" si="18"/>
        <v>3900000</v>
      </c>
      <c r="T48" s="9">
        <f t="shared" si="18"/>
        <v>1220000</v>
      </c>
    </row>
    <row r="49" spans="3:24" ht="12.75" customHeight="1" x14ac:dyDescent="0.2">
      <c r="C49" s="4" t="s">
        <v>2</v>
      </c>
      <c r="D49" s="4" t="s">
        <v>41</v>
      </c>
      <c r="E49" s="4"/>
      <c r="F49" s="100"/>
      <c r="G49" s="4"/>
      <c r="H49" s="13"/>
      <c r="I49" s="100"/>
      <c r="J49" s="4"/>
      <c r="K49" s="4"/>
      <c r="L49" s="4"/>
      <c r="M49" s="4"/>
      <c r="N49" s="4"/>
      <c r="O49" s="100"/>
      <c r="P49" s="9">
        <f t="shared" si="18"/>
        <v>0</v>
      </c>
      <c r="Q49" s="9">
        <f t="shared" si="18"/>
        <v>0</v>
      </c>
      <c r="R49" s="9">
        <f t="shared" si="18"/>
        <v>0</v>
      </c>
      <c r="S49" s="9">
        <f t="shared" si="18"/>
        <v>0</v>
      </c>
      <c r="T49" s="9">
        <f t="shared" si="18"/>
        <v>0</v>
      </c>
    </row>
    <row r="50" spans="3:24" ht="12.75" customHeight="1" x14ac:dyDescent="0.2">
      <c r="C50" s="4" t="s">
        <v>1</v>
      </c>
      <c r="D50" s="4" t="s">
        <v>41</v>
      </c>
      <c r="E50" s="4"/>
      <c r="F50" s="100"/>
      <c r="G50" s="4"/>
      <c r="H50" s="13"/>
      <c r="I50" s="100"/>
      <c r="J50" s="4"/>
      <c r="K50" s="4"/>
      <c r="L50" s="4"/>
      <c r="M50" s="4"/>
      <c r="N50" s="4"/>
      <c r="O50" s="100"/>
      <c r="P50" s="9">
        <f t="shared" si="18"/>
        <v>0</v>
      </c>
      <c r="Q50" s="9">
        <f t="shared" si="18"/>
        <v>0</v>
      </c>
      <c r="R50" s="9">
        <f t="shared" si="18"/>
        <v>0</v>
      </c>
      <c r="S50" s="9">
        <f t="shared" si="18"/>
        <v>0</v>
      </c>
      <c r="T50" s="9">
        <f t="shared" si="18"/>
        <v>0</v>
      </c>
    </row>
    <row r="51" spans="3:24" ht="12.75" customHeight="1" x14ac:dyDescent="0.2">
      <c r="C51" s="4" t="s">
        <v>4</v>
      </c>
      <c r="D51" s="4" t="s">
        <v>41</v>
      </c>
      <c r="E51" s="7"/>
      <c r="F51" s="100"/>
      <c r="G51" s="7"/>
      <c r="H51" s="31"/>
      <c r="I51" s="100"/>
      <c r="J51" s="7"/>
      <c r="K51" s="7"/>
      <c r="L51" s="7"/>
      <c r="M51" s="7"/>
      <c r="N51" s="7"/>
      <c r="O51" s="100"/>
      <c r="P51" s="9">
        <f t="shared" si="18"/>
        <v>0</v>
      </c>
      <c r="Q51" s="9">
        <f t="shared" si="18"/>
        <v>0</v>
      </c>
      <c r="R51" s="9">
        <f t="shared" si="18"/>
        <v>0</v>
      </c>
      <c r="S51" s="9">
        <f t="shared" si="18"/>
        <v>0</v>
      </c>
      <c r="T51" s="9">
        <f t="shared" si="18"/>
        <v>0</v>
      </c>
    </row>
    <row r="52" spans="3:24" ht="12.75" customHeight="1" x14ac:dyDescent="0.2">
      <c r="C52" s="10" t="str">
        <f>"Total Expenditure ($ "&amp;Assumptions!$B$8&amp;")"</f>
        <v>Total Expenditure ($ 2018)</v>
      </c>
      <c r="D52" s="10"/>
      <c r="E52" s="10"/>
      <c r="F52" s="100"/>
      <c r="G52" s="10"/>
      <c r="H52" s="14"/>
      <c r="I52" s="100"/>
      <c r="J52" s="10"/>
      <c r="K52" s="10"/>
      <c r="L52" s="10"/>
      <c r="M52" s="10"/>
      <c r="N52" s="10"/>
      <c r="O52" s="100"/>
      <c r="P52" s="11">
        <f>SUM(P46:P51)</f>
        <v>3394069.25</v>
      </c>
      <c r="Q52" s="11">
        <f t="shared" ref="Q52:T52" si="19">SUM(Q46:Q51)</f>
        <v>3427500</v>
      </c>
      <c r="R52" s="11">
        <f t="shared" si="19"/>
        <v>12292838.75</v>
      </c>
      <c r="S52" s="11">
        <f t="shared" si="19"/>
        <v>19492694</v>
      </c>
      <c r="T52" s="11">
        <f t="shared" si="19"/>
        <v>6093918.5</v>
      </c>
      <c r="U52" s="44"/>
      <c r="V52" s="100"/>
      <c r="W52" s="100"/>
      <c r="X52" s="100"/>
    </row>
    <row r="53" spans="3:24" ht="12.75" customHeight="1" x14ac:dyDescent="0.2">
      <c r="C53" s="28" t="str">
        <f>"Total Expenditure ($ "&amp;Assumptions!B17&amp;")"</f>
        <v>Total Expenditure ($ 2020/21)</v>
      </c>
      <c r="D53" s="28"/>
      <c r="E53" s="28"/>
      <c r="F53" s="100"/>
      <c r="G53" s="28"/>
      <c r="H53" s="29"/>
      <c r="I53" s="100"/>
      <c r="J53" s="28"/>
      <c r="K53" s="28"/>
      <c r="L53" s="28"/>
      <c r="M53" s="28"/>
      <c r="N53" s="28"/>
      <c r="O53" s="100"/>
      <c r="P53" s="45">
        <f>P52*Assumptions!$B$18</f>
        <v>3594465.9970594523</v>
      </c>
      <c r="Q53" s="45">
        <f>Q52*Assumptions!$B$18</f>
        <v>3629870.6058873939</v>
      </c>
      <c r="R53" s="45">
        <f>R52*Assumptions!$B$18</f>
        <v>13018647.422768354</v>
      </c>
      <c r="S53" s="45">
        <f>S52*Assumptions!$B$18</f>
        <v>20643605.245851953</v>
      </c>
      <c r="T53" s="45">
        <f>T52*Assumptions!$B$18</f>
        <v>6453723.0161410356</v>
      </c>
      <c r="U53" s="44"/>
      <c r="V53" s="100"/>
      <c r="W53" s="100"/>
      <c r="X53" s="100"/>
    </row>
    <row r="54" spans="3:24" x14ac:dyDescent="0.2">
      <c r="C54" s="101" t="s">
        <v>12</v>
      </c>
      <c r="D54" s="101"/>
      <c r="E54" s="101"/>
      <c r="F54" s="100"/>
      <c r="G54" s="101"/>
      <c r="H54" s="101"/>
      <c r="I54" s="100"/>
      <c r="J54" s="101"/>
      <c r="K54" s="101"/>
      <c r="L54" s="101"/>
      <c r="M54" s="101"/>
      <c r="N54" s="101"/>
      <c r="O54" s="100"/>
      <c r="P54" s="102">
        <f>P52-SUM(P10:P42)</f>
        <v>0</v>
      </c>
      <c r="Q54" s="102">
        <f>Q52-SUM(Q10:Q42)</f>
        <v>0</v>
      </c>
      <c r="R54" s="102">
        <f>R52-SUM(R10:R42)</f>
        <v>0</v>
      </c>
      <c r="S54" s="102">
        <f>S52-SUM(S10:S42)</f>
        <v>0</v>
      </c>
      <c r="T54" s="102">
        <f>T52-SUM(T10:T42)</f>
        <v>0</v>
      </c>
      <c r="U54" s="100"/>
      <c r="V54" s="102">
        <f>SUM(P54:T54)</f>
        <v>0</v>
      </c>
      <c r="W54" s="100"/>
      <c r="X54" s="100"/>
    </row>
    <row r="55" spans="3:24" ht="12.75" customHeight="1" x14ac:dyDescent="0.2">
      <c r="C55" s="100"/>
      <c r="D55" s="100"/>
      <c r="E55" s="100"/>
      <c r="F55" s="100"/>
      <c r="G55" s="100"/>
      <c r="I55" s="100"/>
      <c r="J55" s="100"/>
      <c r="K55" s="100"/>
      <c r="L55" s="100"/>
      <c r="M55" s="100"/>
      <c r="N55" s="100"/>
      <c r="O55" s="100"/>
      <c r="P55" s="100"/>
      <c r="Q55" s="100"/>
      <c r="R55" s="100"/>
      <c r="S55" s="100"/>
      <c r="T55" s="100"/>
      <c r="U55" s="100"/>
      <c r="V55" s="100"/>
      <c r="W55" s="100"/>
      <c r="X55" s="100"/>
    </row>
    <row r="56" spans="3:24" ht="12.75" customHeight="1" x14ac:dyDescent="0.2">
      <c r="C56" s="127" t="str">
        <f>"NPV ($ "&amp;Assumptions!$B$17&amp;")"</f>
        <v>NPV ($ 2020/21)</v>
      </c>
      <c r="D56" s="128">
        <f>NPV(Assumptions!$B$6,$P$53:$T$53)</f>
        <v>43093345.315527223</v>
      </c>
      <c r="E56" s="40"/>
      <c r="F56" s="100"/>
      <c r="G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0"/>
      <c r="V56" s="100"/>
      <c r="W56" s="100"/>
      <c r="X56" s="100"/>
    </row>
    <row r="57" spans="3:24" ht="12.75" customHeight="1" x14ac:dyDescent="0.2">
      <c r="F57" s="100"/>
      <c r="I57" s="100"/>
      <c r="O57" s="100"/>
    </row>
    <row r="58" spans="3:24" ht="12.75" customHeight="1" x14ac:dyDescent="0.2">
      <c r="F58" s="100"/>
      <c r="I58" s="100"/>
      <c r="O58" s="100"/>
    </row>
    <row r="59" spans="3:24" ht="12.75" customHeight="1" x14ac:dyDescent="0.2">
      <c r="F59" s="100"/>
      <c r="I59" s="100"/>
      <c r="O59" s="100"/>
    </row>
    <row r="60" spans="3:24" ht="12.75" customHeight="1" x14ac:dyDescent="0.2">
      <c r="F60" s="100"/>
      <c r="I60" s="100"/>
      <c r="O60" s="100"/>
    </row>
    <row r="61" spans="3:24" ht="12.75" customHeight="1" x14ac:dyDescent="0.2"/>
  </sheetData>
  <conditionalFormatting sqref="V54">
    <cfRule type="expression" dxfId="1" priority="2">
      <formula>ABS(V54)&gt;0.001</formula>
    </cfRule>
  </conditionalFormatting>
  <conditionalFormatting sqref="P54:T54">
    <cfRule type="expression" dxfId="0" priority="1">
      <formula>ABS(P54)&gt;0.001</formula>
    </cfRule>
  </conditionalFormatting>
  <dataValidations count="2">
    <dataValidation type="list" allowBlank="1" showInputMessage="1" showErrorMessage="1" sqref="E22:E30 E10:E19 E33:E42">
      <formula1>"Labour, Materials, Contracts"</formula1>
    </dataValidation>
    <dataValidation type="list" allowBlank="1" showInputMessage="1" showErrorMessage="1" sqref="D22:D30 D10:D19 D33:D42">
      <formula1>"CapEx, OpEx"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</vt:i4>
      </vt:variant>
    </vt:vector>
  </HeadingPairs>
  <TitlesOfParts>
    <vt:vector size="12" baseType="lpstr">
      <vt:lpstr>Output</vt:lpstr>
      <vt:lpstr>Summary</vt:lpstr>
      <vt:lpstr>Assumptions</vt:lpstr>
      <vt:lpstr>Option 1</vt:lpstr>
      <vt:lpstr>Option 2</vt:lpstr>
      <vt:lpstr>Conv_2021</vt:lpstr>
      <vt:lpstr>Option1_categories</vt:lpstr>
      <vt:lpstr>Option1_costs</vt:lpstr>
      <vt:lpstr>Option2_categories</vt:lpstr>
      <vt:lpstr>Option2_costs</vt:lpstr>
      <vt:lpstr>Summary!Print_Area</vt:lpstr>
      <vt:lpstr>years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2019-11-20T03:52:50Z</dcterms:created>
  <dcterms:modified xsi:type="dcterms:W3CDTF">2020-01-22T05:20:12Z</dcterms:modified>
</cp:coreProperties>
</file>