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</workbook>
</file>

<file path=xl/calcChain.xml><?xml version="1.0" encoding="utf-8"?>
<calcChain xmlns="http://schemas.openxmlformats.org/spreadsheetml/2006/main">
  <c r="P39" i="11" l="1"/>
  <c r="P39" i="10"/>
  <c r="P39" i="9"/>
  <c r="P39" i="8"/>
  <c r="Z121" i="11" l="1"/>
  <c r="Y121" i="11"/>
  <c r="X121" i="11"/>
  <c r="W121" i="11"/>
  <c r="V121" i="11"/>
  <c r="U121" i="11"/>
  <c r="T121" i="11"/>
  <c r="S121" i="11"/>
  <c r="R121" i="11"/>
  <c r="Q121" i="11"/>
  <c r="P121" i="11"/>
  <c r="Z120" i="11"/>
  <c r="Y120" i="11"/>
  <c r="X120" i="11"/>
  <c r="W120" i="11"/>
  <c r="V120" i="11"/>
  <c r="U120" i="11"/>
  <c r="T120" i="11"/>
  <c r="S120" i="11"/>
  <c r="R120" i="11"/>
  <c r="Q120" i="11"/>
  <c r="P120" i="11"/>
  <c r="Z119" i="11"/>
  <c r="Y119" i="11"/>
  <c r="X119" i="11"/>
  <c r="W119" i="11"/>
  <c r="V119" i="11"/>
  <c r="U119" i="11"/>
  <c r="T119" i="11"/>
  <c r="S119" i="11"/>
  <c r="R119" i="11"/>
  <c r="Q119" i="11"/>
  <c r="P119" i="11"/>
  <c r="O121" i="11"/>
  <c r="O120" i="11"/>
  <c r="O119" i="11"/>
  <c r="Z121" i="10"/>
  <c r="Y121" i="10"/>
  <c r="X121" i="10"/>
  <c r="W121" i="10"/>
  <c r="V121" i="10"/>
  <c r="U121" i="10"/>
  <c r="T121" i="10"/>
  <c r="S121" i="10"/>
  <c r="R121" i="10"/>
  <c r="Q121" i="10"/>
  <c r="P121" i="10"/>
  <c r="Z120" i="10"/>
  <c r="Y120" i="10"/>
  <c r="X120" i="10"/>
  <c r="W120" i="10"/>
  <c r="V120" i="10"/>
  <c r="U120" i="10"/>
  <c r="T120" i="10"/>
  <c r="S120" i="10"/>
  <c r="R120" i="10"/>
  <c r="Q120" i="10"/>
  <c r="P120" i="10"/>
  <c r="Z119" i="10"/>
  <c r="Y119" i="10"/>
  <c r="X119" i="10"/>
  <c r="W119" i="10"/>
  <c r="V119" i="10"/>
  <c r="U119" i="10"/>
  <c r="T119" i="10"/>
  <c r="S119" i="10"/>
  <c r="R119" i="10"/>
  <c r="Q119" i="10"/>
  <c r="P119" i="10"/>
  <c r="O121" i="10"/>
  <c r="O120" i="10"/>
  <c r="O119" i="10"/>
  <c r="Z121" i="9"/>
  <c r="Y121" i="9"/>
  <c r="X121" i="9"/>
  <c r="W121" i="9"/>
  <c r="V121" i="9"/>
  <c r="U121" i="9"/>
  <c r="T121" i="9"/>
  <c r="S121" i="9"/>
  <c r="R121" i="9"/>
  <c r="Q121" i="9"/>
  <c r="P121" i="9"/>
  <c r="Z120" i="9"/>
  <c r="Y120" i="9"/>
  <c r="X120" i="9"/>
  <c r="W120" i="9"/>
  <c r="V120" i="9"/>
  <c r="U120" i="9"/>
  <c r="T120" i="9"/>
  <c r="S120" i="9"/>
  <c r="R120" i="9"/>
  <c r="Q120" i="9"/>
  <c r="P120" i="9"/>
  <c r="Z119" i="9"/>
  <c r="Y119" i="9"/>
  <c r="X119" i="9"/>
  <c r="W119" i="9"/>
  <c r="V119" i="9"/>
  <c r="U119" i="9"/>
  <c r="T119" i="9"/>
  <c r="S119" i="9"/>
  <c r="R119" i="9"/>
  <c r="Q119" i="9"/>
  <c r="P119" i="9"/>
  <c r="O121" i="9"/>
  <c r="O120" i="9"/>
  <c r="O119" i="9"/>
  <c r="Z121" i="8"/>
  <c r="Y121" i="8"/>
  <c r="X121" i="8"/>
  <c r="W121" i="8"/>
  <c r="V121" i="8"/>
  <c r="U121" i="8"/>
  <c r="T121" i="8"/>
  <c r="S121" i="8"/>
  <c r="R121" i="8"/>
  <c r="Q121" i="8"/>
  <c r="P121" i="8"/>
  <c r="O121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Z121" i="2"/>
  <c r="Y121" i="2"/>
  <c r="X121" i="2"/>
  <c r="W121" i="2"/>
  <c r="V121" i="2"/>
  <c r="U121" i="2"/>
  <c r="T121" i="2"/>
  <c r="S121" i="2"/>
  <c r="R121" i="2"/>
  <c r="Q121" i="2"/>
  <c r="P121" i="2"/>
  <c r="O121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R40" i="11" l="1"/>
  <c r="R39" i="11"/>
  <c r="R38" i="11"/>
  <c r="R37" i="11"/>
  <c r="R30" i="11"/>
  <c r="R29" i="11"/>
  <c r="R28" i="11"/>
  <c r="R27" i="11"/>
  <c r="R21" i="11"/>
  <c r="R20" i="11"/>
  <c r="R19" i="11"/>
  <c r="R18" i="11"/>
  <c r="R17" i="11"/>
  <c r="Q41" i="11"/>
  <c r="Q40" i="11"/>
  <c r="Q39" i="11"/>
  <c r="Q38" i="11"/>
  <c r="Q37" i="11"/>
  <c r="Q31" i="11"/>
  <c r="Q30" i="11"/>
  <c r="Q29" i="11"/>
  <c r="Q28" i="11"/>
  <c r="Q27" i="11"/>
  <c r="Q21" i="11"/>
  <c r="Q20" i="11"/>
  <c r="Q19" i="11"/>
  <c r="Q18" i="11"/>
  <c r="Q17" i="11"/>
  <c r="P37" i="11"/>
  <c r="P28" i="11"/>
  <c r="O27" i="11"/>
  <c r="O17" i="11"/>
  <c r="P37" i="10"/>
  <c r="R41" i="9"/>
  <c r="R40" i="9"/>
  <c r="R39" i="9"/>
  <c r="R38" i="9"/>
  <c r="R37" i="9"/>
  <c r="P37" i="9"/>
  <c r="P28" i="9"/>
  <c r="P28" i="10"/>
  <c r="P18" i="11"/>
  <c r="P18" i="10"/>
  <c r="P18" i="9"/>
  <c r="R40" i="10"/>
  <c r="R39" i="10"/>
  <c r="R38" i="10"/>
  <c r="R37" i="10"/>
  <c r="R31" i="10"/>
  <c r="R30" i="10"/>
  <c r="R29" i="10"/>
  <c r="R28" i="10"/>
  <c r="R27" i="10"/>
  <c r="R22" i="10"/>
  <c r="R21" i="10"/>
  <c r="R20" i="10"/>
  <c r="R19" i="10"/>
  <c r="R18" i="10"/>
  <c r="R17" i="10"/>
  <c r="Q40" i="10"/>
  <c r="Q39" i="10"/>
  <c r="Q38" i="10"/>
  <c r="Q37" i="10"/>
  <c r="Q31" i="10"/>
  <c r="Q30" i="10"/>
  <c r="Q29" i="10"/>
  <c r="Q28" i="10"/>
  <c r="Q27" i="10"/>
  <c r="Q21" i="10"/>
  <c r="Q20" i="10"/>
  <c r="Q19" i="10"/>
  <c r="Q18" i="10"/>
  <c r="Q17" i="10"/>
  <c r="R31" i="9"/>
  <c r="R30" i="9"/>
  <c r="R29" i="9"/>
  <c r="R28" i="9"/>
  <c r="R27" i="9"/>
  <c r="R21" i="9"/>
  <c r="R20" i="9"/>
  <c r="R19" i="9"/>
  <c r="R18" i="9"/>
  <c r="R17" i="9"/>
  <c r="Q41" i="9"/>
  <c r="Q40" i="9"/>
  <c r="Q39" i="9"/>
  <c r="Q38" i="9"/>
  <c r="Q37" i="9"/>
  <c r="Q31" i="9"/>
  <c r="Q30" i="9"/>
  <c r="Q29" i="9"/>
  <c r="Q28" i="9"/>
  <c r="Q27" i="9"/>
  <c r="Q21" i="9"/>
  <c r="Q20" i="9"/>
  <c r="Q19" i="9"/>
  <c r="Q18" i="9"/>
  <c r="Q17" i="9"/>
  <c r="S41" i="8"/>
  <c r="S40" i="8"/>
  <c r="S39" i="8"/>
  <c r="S38" i="8"/>
  <c r="S37" i="8"/>
  <c r="S31" i="8"/>
  <c r="S30" i="8"/>
  <c r="S29" i="8"/>
  <c r="S28" i="8"/>
  <c r="S27" i="8"/>
  <c r="S21" i="8"/>
  <c r="S20" i="8"/>
  <c r="S19" i="8"/>
  <c r="S18" i="8"/>
  <c r="S17" i="8"/>
  <c r="R41" i="8"/>
  <c r="R40" i="8"/>
  <c r="R39" i="8"/>
  <c r="R38" i="8"/>
  <c r="R37" i="8"/>
  <c r="R31" i="8"/>
  <c r="R30" i="8"/>
  <c r="R29" i="8"/>
  <c r="R28" i="8"/>
  <c r="R27" i="8"/>
  <c r="R21" i="8"/>
  <c r="R20" i="8"/>
  <c r="R19" i="8"/>
  <c r="R18" i="8"/>
  <c r="R17" i="8"/>
  <c r="Q41" i="8"/>
  <c r="Q40" i="8"/>
  <c r="Q39" i="8"/>
  <c r="Q38" i="8"/>
  <c r="Q37" i="8"/>
  <c r="Q31" i="8"/>
  <c r="Q30" i="8"/>
  <c r="Q29" i="8"/>
  <c r="Q28" i="8"/>
  <c r="Q27" i="8"/>
  <c r="Q21" i="8"/>
  <c r="Q20" i="8"/>
  <c r="Q19" i="8"/>
  <c r="Q18" i="8"/>
  <c r="Q17" i="8"/>
  <c r="S31" i="9"/>
  <c r="S30" i="9"/>
  <c r="S29" i="9"/>
  <c r="S28" i="9"/>
  <c r="S27" i="9"/>
  <c r="S21" i="9"/>
  <c r="S20" i="9"/>
  <c r="S19" i="9"/>
  <c r="S18" i="9"/>
  <c r="S17" i="9"/>
  <c r="P37" i="8"/>
  <c r="P28" i="8"/>
  <c r="P18" i="8"/>
  <c r="O37" i="10"/>
  <c r="O27" i="10"/>
  <c r="O17" i="10"/>
  <c r="O37" i="8"/>
  <c r="O37" i="9"/>
  <c r="O27" i="9"/>
  <c r="O17" i="9"/>
  <c r="O27" i="8"/>
  <c r="O17" i="8"/>
  <c r="P28" i="2"/>
  <c r="P18" i="2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U32" i="2"/>
  <c r="K36" i="2"/>
  <c r="K35" i="2"/>
  <c r="K34" i="2"/>
  <c r="K33" i="2"/>
  <c r="K32" i="2"/>
  <c r="K31" i="2"/>
  <c r="K30" i="2"/>
  <c r="K29" i="2"/>
  <c r="K28" i="2"/>
  <c r="K27" i="2"/>
  <c r="J117" i="1"/>
  <c r="M75" i="1"/>
  <c r="L75" i="1" s="1"/>
  <c r="K75" i="1"/>
  <c r="M72" i="1"/>
  <c r="M73" i="1"/>
  <c r="M74" i="1"/>
  <c r="M71" i="1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6" i="1" s="1"/>
  <c r="S187" i="1"/>
  <c r="S196" i="1" s="1"/>
  <c r="R187" i="1"/>
  <c r="R196" i="1" s="1"/>
  <c r="Q187" i="1"/>
  <c r="Q195" i="1" s="1"/>
  <c r="P187" i="1"/>
  <c r="P196" i="1" s="1"/>
  <c r="O187" i="1"/>
  <c r="O196" i="1" s="1"/>
  <c r="Q194" i="1" l="1"/>
  <c r="Q196" i="1"/>
  <c r="U193" i="1"/>
  <c r="U194" i="1"/>
  <c r="U196" i="1"/>
  <c r="Q193" i="1"/>
  <c r="O193" i="1"/>
  <c r="S193" i="1"/>
  <c r="O194" i="1"/>
  <c r="S194" i="1"/>
  <c r="O195" i="1"/>
  <c r="S195" i="1"/>
  <c r="P193" i="1"/>
  <c r="T193" i="1"/>
  <c r="P194" i="1"/>
  <c r="T194" i="1"/>
  <c r="P195" i="1"/>
  <c r="T195" i="1"/>
  <c r="R193" i="1"/>
  <c r="R194" i="1"/>
  <c r="R195" i="1"/>
  <c r="M80" i="1"/>
  <c r="L82" i="1"/>
  <c r="L81" i="1"/>
  <c r="Q192" i="1" l="1"/>
  <c r="U192" i="1"/>
  <c r="O192" i="1"/>
  <c r="P192" i="1"/>
  <c r="R192" i="1"/>
  <c r="S192" i="1"/>
  <c r="T192" i="1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J119" i="2" s="1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V187" i="1"/>
  <c r="D185" i="1"/>
  <c r="D175" i="1"/>
  <c r="D174" i="1"/>
  <c r="D173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A2" i="1"/>
  <c r="A1" i="1"/>
  <c r="I12" i="2" l="1"/>
  <c r="D13" i="9"/>
  <c r="D13" i="10"/>
  <c r="D13" i="11"/>
  <c r="D13" i="8"/>
  <c r="D10" i="10"/>
  <c r="D10" i="11"/>
  <c r="D10" i="8"/>
  <c r="D10" i="9"/>
  <c r="D14" i="11"/>
  <c r="D14" i="10"/>
  <c r="D14" i="9"/>
  <c r="D14" i="8"/>
  <c r="D11" i="11"/>
  <c r="D11" i="9"/>
  <c r="D11" i="8"/>
  <c r="D11" i="10"/>
  <c r="V196" i="1"/>
  <c r="V195" i="1"/>
  <c r="V194" i="1"/>
  <c r="V193" i="1"/>
  <c r="V192" i="1"/>
  <c r="P2" i="1"/>
  <c r="O2" i="9"/>
  <c r="O146" i="9" s="1"/>
  <c r="O2" i="8"/>
  <c r="O146" i="8" s="1"/>
  <c r="O2" i="10"/>
  <c r="O146" i="10" s="1"/>
  <c r="O2" i="11"/>
  <c r="O146" i="11" s="1"/>
  <c r="O2" i="7"/>
  <c r="O8" i="7" s="1"/>
  <c r="O2" i="2"/>
  <c r="O146" i="2" s="1"/>
  <c r="D12" i="9"/>
  <c r="D12" i="8"/>
  <c r="D12" i="10"/>
  <c r="D12" i="11"/>
  <c r="D70" i="9"/>
  <c r="D70" i="8"/>
  <c r="D70" i="11"/>
  <c r="D70" i="10"/>
  <c r="D13" i="2"/>
  <c r="I13" i="2" s="1"/>
  <c r="D10" i="2"/>
  <c r="I10" i="2" s="1"/>
  <c r="D14" i="2"/>
  <c r="I14" i="2" s="1"/>
  <c r="D70" i="2"/>
  <c r="D9" i="9"/>
  <c r="D9" i="10"/>
  <c r="D9" i="8"/>
  <c r="D9" i="11"/>
  <c r="D69" i="11"/>
  <c r="D69" i="10"/>
  <c r="D69" i="8"/>
  <c r="D69" i="9"/>
  <c r="D69" i="2"/>
  <c r="D11" i="2"/>
  <c r="I11" i="2" s="1"/>
  <c r="L168" i="1"/>
  <c r="A1" i="2"/>
  <c r="A1" i="9"/>
  <c r="A1" i="10"/>
  <c r="A1" i="11"/>
  <c r="A1" i="8"/>
  <c r="J124" i="2"/>
  <c r="J122" i="2"/>
  <c r="J125" i="2"/>
  <c r="J123" i="2"/>
  <c r="A1" i="7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Q16" i="1"/>
  <c r="L170" i="1"/>
  <c r="I9" i="11" l="1"/>
  <c r="I12" i="11"/>
  <c r="I11" i="10"/>
  <c r="I14" i="8"/>
  <c r="I10" i="9"/>
  <c r="I13" i="8"/>
  <c r="J177" i="1"/>
  <c r="J178" i="1" s="1"/>
  <c r="I9" i="8"/>
  <c r="I12" i="10"/>
  <c r="I11" i="8"/>
  <c r="I14" i="9"/>
  <c r="I10" i="8"/>
  <c r="I13" i="11"/>
  <c r="I9" i="10"/>
  <c r="I12" i="8"/>
  <c r="Q2" i="1"/>
  <c r="P2" i="9"/>
  <c r="P146" i="9" s="1"/>
  <c r="P2" i="10"/>
  <c r="P146" i="10" s="1"/>
  <c r="P2" i="8"/>
  <c r="P146" i="8" s="1"/>
  <c r="P2" i="11"/>
  <c r="P146" i="11" s="1"/>
  <c r="P2" i="7"/>
  <c r="P8" i="7" s="1"/>
  <c r="P2" i="2"/>
  <c r="P146" i="2" s="1"/>
  <c r="I11" i="9"/>
  <c r="I14" i="10"/>
  <c r="I10" i="11"/>
  <c r="I13" i="10"/>
  <c r="I9" i="9"/>
  <c r="I12" i="9"/>
  <c r="I11" i="11"/>
  <c r="I14" i="11"/>
  <c r="I10" i="10"/>
  <c r="I13" i="9"/>
  <c r="W187" i="1"/>
  <c r="X187" i="1"/>
  <c r="P51" i="2"/>
  <c r="K177" i="1"/>
  <c r="K178" i="1" s="1"/>
  <c r="R16" i="1"/>
  <c r="P49" i="11" l="1"/>
  <c r="P49" i="10"/>
  <c r="P49" i="8"/>
  <c r="P49" i="2"/>
  <c r="P49" i="9"/>
  <c r="P50" i="11"/>
  <c r="P50" i="9"/>
  <c r="P50" i="10"/>
  <c r="P50" i="8"/>
  <c r="V71" i="11"/>
  <c r="T71" i="11"/>
  <c r="P71" i="11"/>
  <c r="X71" i="11"/>
  <c r="W71" i="11"/>
  <c r="S71" i="11"/>
  <c r="O71" i="11"/>
  <c r="R71" i="11"/>
  <c r="U71" i="11"/>
  <c r="Q71" i="11"/>
  <c r="R71" i="10"/>
  <c r="U71" i="10"/>
  <c r="Q71" i="10"/>
  <c r="X71" i="10"/>
  <c r="T71" i="10"/>
  <c r="P71" i="10"/>
  <c r="W71" i="10"/>
  <c r="S71" i="10"/>
  <c r="O71" i="10"/>
  <c r="V71" i="10"/>
  <c r="V71" i="9"/>
  <c r="R71" i="9"/>
  <c r="X71" i="9"/>
  <c r="T71" i="9"/>
  <c r="P71" i="9"/>
  <c r="W71" i="9"/>
  <c r="S71" i="9"/>
  <c r="O71" i="9"/>
  <c r="U71" i="9"/>
  <c r="Q71" i="9"/>
  <c r="V71" i="8"/>
  <c r="R71" i="8"/>
  <c r="U71" i="8"/>
  <c r="Q71" i="8"/>
  <c r="X71" i="8"/>
  <c r="T71" i="8"/>
  <c r="P71" i="8"/>
  <c r="W71" i="8"/>
  <c r="S71" i="8"/>
  <c r="O71" i="8"/>
  <c r="Z116" i="9"/>
  <c r="S115" i="9"/>
  <c r="S116" i="9"/>
  <c r="P115" i="9"/>
  <c r="X116" i="9"/>
  <c r="O114" i="9"/>
  <c r="S114" i="9"/>
  <c r="W114" i="9"/>
  <c r="Y115" i="9"/>
  <c r="V116" i="9"/>
  <c r="O115" i="9"/>
  <c r="O116" i="9"/>
  <c r="Y114" i="9"/>
  <c r="P116" i="9"/>
  <c r="U116" i="9"/>
  <c r="T116" i="9"/>
  <c r="R114" i="9"/>
  <c r="Q115" i="9"/>
  <c r="R116" i="9"/>
  <c r="X114" i="9"/>
  <c r="X115" i="9"/>
  <c r="U114" i="9"/>
  <c r="V115" i="9"/>
  <c r="U115" i="9"/>
  <c r="Z115" i="9"/>
  <c r="Y116" i="9"/>
  <c r="V114" i="9"/>
  <c r="W115" i="9"/>
  <c r="W116" i="9"/>
  <c r="T115" i="9"/>
  <c r="Q114" i="9"/>
  <c r="T114" i="9"/>
  <c r="Z114" i="9"/>
  <c r="R115" i="9"/>
  <c r="Q116" i="9"/>
  <c r="P114" i="9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V116" i="10"/>
  <c r="O115" i="10"/>
  <c r="Y116" i="10"/>
  <c r="V115" i="10"/>
  <c r="O114" i="10"/>
  <c r="Y115" i="10"/>
  <c r="V114" i="10"/>
  <c r="O116" i="10"/>
  <c r="Y114" i="10"/>
  <c r="R116" i="10"/>
  <c r="X114" i="10"/>
  <c r="U116" i="10"/>
  <c r="R115" i="10"/>
  <c r="X116" i="10"/>
  <c r="U115" i="10"/>
  <c r="R114" i="10"/>
  <c r="X115" i="10"/>
  <c r="U114" i="10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W196" i="1"/>
  <c r="W195" i="1"/>
  <c r="W194" i="1"/>
  <c r="W193" i="1"/>
  <c r="W192" i="1"/>
  <c r="R2" i="1"/>
  <c r="Q2" i="10"/>
  <c r="Q146" i="10" s="1"/>
  <c r="Q2" i="11"/>
  <c r="Q146" i="11" s="1"/>
  <c r="Q2" i="8"/>
  <c r="Q146" i="8" s="1"/>
  <c r="Q2" i="9"/>
  <c r="Q146" i="9" s="1"/>
  <c r="Q2" i="7"/>
  <c r="Q8" i="7" s="1"/>
  <c r="Q2" i="2"/>
  <c r="Q146" i="2" s="1"/>
  <c r="W115" i="8"/>
  <c r="T114" i="8"/>
  <c r="O116" i="8"/>
  <c r="Y114" i="8"/>
  <c r="U115" i="8"/>
  <c r="Z115" i="8"/>
  <c r="Y116" i="8"/>
  <c r="V114" i="8"/>
  <c r="S114" i="8"/>
  <c r="S115" i="8"/>
  <c r="X115" i="8"/>
  <c r="Z114" i="8"/>
  <c r="Q116" i="8"/>
  <c r="V116" i="8"/>
  <c r="O115" i="8"/>
  <c r="W116" i="8"/>
  <c r="T115" i="8"/>
  <c r="Q114" i="8"/>
  <c r="R114" i="8"/>
  <c r="W114" i="8"/>
  <c r="Y115" i="8"/>
  <c r="P116" i="8"/>
  <c r="Z116" i="8"/>
  <c r="P114" i="8"/>
  <c r="U114" i="8"/>
  <c r="R115" i="8"/>
  <c r="R116" i="8"/>
  <c r="X114" i="8"/>
  <c r="S116" i="8"/>
  <c r="P115" i="8"/>
  <c r="U116" i="8"/>
  <c r="T116" i="8"/>
  <c r="O114" i="8"/>
  <c r="Q115" i="8"/>
  <c r="V115" i="8"/>
  <c r="X116" i="8"/>
  <c r="X196" i="1"/>
  <c r="X195" i="1"/>
  <c r="X194" i="1"/>
  <c r="X193" i="1"/>
  <c r="X192" i="1"/>
  <c r="U18" i="8"/>
  <c r="V18" i="8"/>
  <c r="U18" i="10"/>
  <c r="V18" i="10"/>
  <c r="U38" i="10"/>
  <c r="V38" i="10"/>
  <c r="V18" i="11"/>
  <c r="U18" i="11"/>
  <c r="U38" i="11"/>
  <c r="V38" i="11"/>
  <c r="V18" i="9"/>
  <c r="U18" i="9"/>
  <c r="V38" i="9"/>
  <c r="U38" i="9"/>
  <c r="Y187" i="1"/>
  <c r="V18" i="2"/>
  <c r="U18" i="2"/>
  <c r="S16" i="1"/>
  <c r="U38" i="2" l="1"/>
  <c r="V38" i="2"/>
  <c r="Y71" i="8"/>
  <c r="Y71" i="9"/>
  <c r="Y71" i="11"/>
  <c r="Y71" i="10"/>
  <c r="U38" i="8"/>
  <c r="V38" i="8"/>
  <c r="Y194" i="1"/>
  <c r="Y195" i="1"/>
  <c r="Y196" i="1"/>
  <c r="Y193" i="1"/>
  <c r="Y192" i="1"/>
  <c r="S2" i="1"/>
  <c r="R2" i="11"/>
  <c r="R146" i="11" s="1"/>
  <c r="R2" i="9"/>
  <c r="R146" i="9" s="1"/>
  <c r="R2" i="8"/>
  <c r="R146" i="8" s="1"/>
  <c r="R2" i="10"/>
  <c r="R146" i="10" s="1"/>
  <c r="R2" i="7"/>
  <c r="R8" i="7" s="1"/>
  <c r="R2" i="2"/>
  <c r="R146" i="2" s="1"/>
  <c r="V28" i="9"/>
  <c r="U28" i="9"/>
  <c r="V28" i="8"/>
  <c r="U28" i="8"/>
  <c r="V28" i="10"/>
  <c r="U28" i="10"/>
  <c r="V28" i="11"/>
  <c r="U28" i="11"/>
  <c r="Z187" i="1"/>
  <c r="P50" i="2"/>
  <c r="U28" i="2"/>
  <c r="V28" i="2"/>
  <c r="T16" i="1"/>
  <c r="Z71" i="11" l="1"/>
  <c r="Z71" i="10"/>
  <c r="Z71" i="9"/>
  <c r="Z71" i="8"/>
  <c r="Z196" i="1"/>
  <c r="Z195" i="1"/>
  <c r="Z194" i="1"/>
  <c r="K129" i="1" s="1"/>
  <c r="K130" i="1" s="1"/>
  <c r="K131" i="1" s="1"/>
  <c r="K132" i="1" s="1"/>
  <c r="Z193" i="1"/>
  <c r="J129" i="1" s="1"/>
  <c r="J130" i="1" s="1"/>
  <c r="J131" i="1" s="1"/>
  <c r="J132" i="1" s="1"/>
  <c r="Z192" i="1"/>
  <c r="T2" i="1"/>
  <c r="S2" i="9"/>
  <c r="S146" i="9" s="1"/>
  <c r="S2" i="8"/>
  <c r="S146" i="8" s="1"/>
  <c r="S2" i="10"/>
  <c r="S146" i="10" s="1"/>
  <c r="S2" i="11"/>
  <c r="S146" i="11" s="1"/>
  <c r="S2" i="7"/>
  <c r="S8" i="7" s="1"/>
  <c r="S2" i="2"/>
  <c r="S146" i="2" s="1"/>
  <c r="U17" i="10"/>
  <c r="O51" i="10"/>
  <c r="U17" i="9"/>
  <c r="O51" i="9"/>
  <c r="U16" i="1"/>
  <c r="U27" i="8" l="1"/>
  <c r="U2" i="1"/>
  <c r="T2" i="9"/>
  <c r="T146" i="9" s="1"/>
  <c r="T2" i="10"/>
  <c r="T146" i="10" s="1"/>
  <c r="T2" i="11"/>
  <c r="T146" i="11" s="1"/>
  <c r="T2" i="8"/>
  <c r="T146" i="8" s="1"/>
  <c r="T2" i="7"/>
  <c r="T8" i="7" s="1"/>
  <c r="T2" i="2"/>
  <c r="T146" i="2" s="1"/>
  <c r="O37" i="11"/>
  <c r="U17" i="11"/>
  <c r="O51" i="11"/>
  <c r="O51" i="8"/>
  <c r="U17" i="8"/>
  <c r="U37" i="8"/>
  <c r="O49" i="8"/>
  <c r="U17" i="2"/>
  <c r="O51" i="2"/>
  <c r="V16" i="1"/>
  <c r="O50" i="8" l="1"/>
  <c r="U27" i="11"/>
  <c r="U27" i="10"/>
  <c r="V2" i="1"/>
  <c r="U2" i="10"/>
  <c r="U146" i="10" s="1"/>
  <c r="U2" i="11"/>
  <c r="U146" i="11" s="1"/>
  <c r="U2" i="9"/>
  <c r="U146" i="9" s="1"/>
  <c r="U2" i="8"/>
  <c r="U146" i="8" s="1"/>
  <c r="U2" i="7"/>
  <c r="U8" i="7" s="1"/>
  <c r="U2" i="2"/>
  <c r="U146" i="2" s="1"/>
  <c r="U27" i="2"/>
  <c r="O50" i="2"/>
  <c r="U37" i="11"/>
  <c r="O49" i="11"/>
  <c r="U37" i="10"/>
  <c r="O49" i="10"/>
  <c r="U37" i="2"/>
  <c r="O49" i="2"/>
  <c r="W16" i="1"/>
  <c r="X16" i="1" s="1"/>
  <c r="Y16" i="1" s="1"/>
  <c r="Z16" i="1" s="1"/>
  <c r="K146" i="1" s="1"/>
  <c r="K140" i="1"/>
  <c r="K92" i="1"/>
  <c r="K139" i="1"/>
  <c r="O50" i="10" l="1"/>
  <c r="T22" i="1"/>
  <c r="O50" i="11"/>
  <c r="P22" i="1"/>
  <c r="P135" i="11" s="1"/>
  <c r="P136" i="11" s="1"/>
  <c r="K27" i="1"/>
  <c r="J139" i="11" s="1"/>
  <c r="K94" i="1"/>
  <c r="X22" i="1"/>
  <c r="X135" i="8" s="1"/>
  <c r="X136" i="8" s="1"/>
  <c r="K144" i="1"/>
  <c r="K158" i="1" s="1"/>
  <c r="K95" i="1"/>
  <c r="K93" i="1"/>
  <c r="K143" i="1"/>
  <c r="K157" i="1" s="1"/>
  <c r="U27" i="9"/>
  <c r="O50" i="9"/>
  <c r="W2" i="1"/>
  <c r="V2" i="11"/>
  <c r="V146" i="11" s="1"/>
  <c r="V2" i="9"/>
  <c r="V146" i="9" s="1"/>
  <c r="V2" i="8"/>
  <c r="V146" i="8" s="1"/>
  <c r="V2" i="10"/>
  <c r="V146" i="10" s="1"/>
  <c r="V2" i="7"/>
  <c r="V8" i="7" s="1"/>
  <c r="V2" i="2"/>
  <c r="V146" i="2" s="1"/>
  <c r="X135" i="9"/>
  <c r="X136" i="9" s="1"/>
  <c r="X135" i="10"/>
  <c r="X136" i="10" s="1"/>
  <c r="T135" i="9"/>
  <c r="T136" i="9" s="1"/>
  <c r="T135" i="8"/>
  <c r="T136" i="8" s="1"/>
  <c r="T135" i="10"/>
  <c r="T136" i="10" s="1"/>
  <c r="T135" i="11"/>
  <c r="T136" i="11" s="1"/>
  <c r="K153" i="1"/>
  <c r="T135" i="2"/>
  <c r="T136" i="2" s="1"/>
  <c r="K160" i="1"/>
  <c r="J160" i="1"/>
  <c r="J153" i="1"/>
  <c r="U22" i="1"/>
  <c r="J27" i="1"/>
  <c r="K138" i="1"/>
  <c r="K141" i="1"/>
  <c r="J154" i="1"/>
  <c r="K154" i="1"/>
  <c r="K142" i="1"/>
  <c r="K96" i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X135" i="11" l="1"/>
  <c r="X136" i="11" s="1"/>
  <c r="P135" i="10"/>
  <c r="P136" i="10" s="1"/>
  <c r="U37" i="9"/>
  <c r="O49" i="9"/>
  <c r="J157" i="1"/>
  <c r="J107" i="1"/>
  <c r="J158" i="1"/>
  <c r="P135" i="2"/>
  <c r="P136" i="2" s="1"/>
  <c r="J139" i="2"/>
  <c r="J139" i="9"/>
  <c r="J139" i="10"/>
  <c r="X135" i="2"/>
  <c r="X136" i="2" s="1"/>
  <c r="P135" i="9"/>
  <c r="P136" i="9" s="1"/>
  <c r="P135" i="8"/>
  <c r="P136" i="8" s="1"/>
  <c r="J139" i="8"/>
  <c r="X2" i="1"/>
  <c r="W2" i="9"/>
  <c r="W146" i="9" s="1"/>
  <c r="W2" i="8"/>
  <c r="W146" i="8" s="1"/>
  <c r="W2" i="10"/>
  <c r="W146" i="10" s="1"/>
  <c r="W2" i="11"/>
  <c r="W146" i="11" s="1"/>
  <c r="W2" i="7"/>
  <c r="W8" i="7" s="1"/>
  <c r="W2" i="2"/>
  <c r="W146" i="2" s="1"/>
  <c r="Z135" i="8"/>
  <c r="Z136" i="8" s="1"/>
  <c r="Z137" i="8" s="1"/>
  <c r="Z135" i="9"/>
  <c r="Z136" i="9" s="1"/>
  <c r="Z137" i="9" s="1"/>
  <c r="Z135" i="11"/>
  <c r="Z136" i="11" s="1"/>
  <c r="Z137" i="11" s="1"/>
  <c r="Z135" i="10"/>
  <c r="Z136" i="10" s="1"/>
  <c r="Z137" i="10" s="1"/>
  <c r="Q32" i="8"/>
  <c r="Q42" i="8"/>
  <c r="Q42" i="10"/>
  <c r="Q42" i="9"/>
  <c r="Q32" i="11"/>
  <c r="Q32" i="9"/>
  <c r="Q42" i="11"/>
  <c r="Q32" i="10"/>
  <c r="Y135" i="11"/>
  <c r="Y136" i="11" s="1"/>
  <c r="Y135" i="10"/>
  <c r="Y136" i="10" s="1"/>
  <c r="Y137" i="10" s="1"/>
  <c r="Y135" i="8"/>
  <c r="Y136" i="8" s="1"/>
  <c r="Y135" i="9"/>
  <c r="Y136" i="9" s="1"/>
  <c r="O135" i="9"/>
  <c r="O136" i="9" s="1"/>
  <c r="O135" i="11"/>
  <c r="O136" i="11" s="1"/>
  <c r="O135" i="10"/>
  <c r="O136" i="10" s="1"/>
  <c r="O135" i="8"/>
  <c r="O136" i="8" s="1"/>
  <c r="W135" i="11"/>
  <c r="W136" i="11" s="1"/>
  <c r="W135" i="10"/>
  <c r="W136" i="10" s="1"/>
  <c r="W137" i="10" s="1"/>
  <c r="W135" i="8"/>
  <c r="W136" i="8" s="1"/>
  <c r="W135" i="9"/>
  <c r="W136" i="9" s="1"/>
  <c r="V135" i="8"/>
  <c r="V136" i="8" s="1"/>
  <c r="V135" i="9"/>
  <c r="V136" i="9" s="1"/>
  <c r="V135" i="11"/>
  <c r="V136" i="11" s="1"/>
  <c r="V135" i="10"/>
  <c r="V136" i="10" s="1"/>
  <c r="U135" i="9"/>
  <c r="U136" i="9" s="1"/>
  <c r="U135" i="11"/>
  <c r="U136" i="11" s="1"/>
  <c r="U135" i="10"/>
  <c r="U136" i="10" s="1"/>
  <c r="U135" i="8"/>
  <c r="U136" i="8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V137" i="11" l="1"/>
  <c r="W137" i="8"/>
  <c r="Y137" i="8"/>
  <c r="V40" i="9"/>
  <c r="U40" i="9"/>
  <c r="R49" i="9"/>
  <c r="V40" i="11"/>
  <c r="U40" i="11"/>
  <c r="R49" i="11"/>
  <c r="U40" i="10"/>
  <c r="V40" i="10"/>
  <c r="R49" i="10"/>
  <c r="R49" i="2"/>
  <c r="V40" i="2"/>
  <c r="U40" i="2"/>
  <c r="U40" i="8"/>
  <c r="V40" i="8"/>
  <c r="R49" i="8"/>
  <c r="S137" i="11"/>
  <c r="W137" i="11"/>
  <c r="Y137" i="11"/>
  <c r="S137" i="9"/>
  <c r="X137" i="8"/>
  <c r="V137" i="10"/>
  <c r="Y137" i="9"/>
  <c r="U137" i="10"/>
  <c r="Y2" i="1"/>
  <c r="X2" i="9"/>
  <c r="X146" i="9" s="1"/>
  <c r="X2" i="10"/>
  <c r="X146" i="10" s="1"/>
  <c r="X2" i="8"/>
  <c r="X146" i="8" s="1"/>
  <c r="X2" i="11"/>
  <c r="X146" i="11" s="1"/>
  <c r="X2" i="7"/>
  <c r="X8" i="7" s="1"/>
  <c r="X2" i="2"/>
  <c r="X146" i="2" s="1"/>
  <c r="U137" i="11"/>
  <c r="V137" i="9"/>
  <c r="S137" i="10"/>
  <c r="T137" i="10"/>
  <c r="U137" i="9"/>
  <c r="V137" i="8"/>
  <c r="S137" i="8"/>
  <c r="U137" i="8"/>
  <c r="W137" i="9"/>
  <c r="X137" i="9"/>
  <c r="R137" i="9"/>
  <c r="V32" i="10"/>
  <c r="U32" i="10"/>
  <c r="U42" i="9"/>
  <c r="V42" i="9"/>
  <c r="X137" i="11"/>
  <c r="S31" i="11"/>
  <c r="S31" i="10"/>
  <c r="U42" i="11"/>
  <c r="V42" i="11"/>
  <c r="U42" i="10"/>
  <c r="V42" i="10"/>
  <c r="T137" i="9"/>
  <c r="U32" i="9"/>
  <c r="V32" i="9"/>
  <c r="U42" i="8"/>
  <c r="V42" i="8"/>
  <c r="X137" i="10"/>
  <c r="S41" i="11"/>
  <c r="U41" i="11" s="1"/>
  <c r="S41" i="9"/>
  <c r="V41" i="9" s="1"/>
  <c r="U41" i="2"/>
  <c r="S41" i="10"/>
  <c r="V41" i="10" s="1"/>
  <c r="V41" i="8"/>
  <c r="T137" i="11"/>
  <c r="V32" i="11"/>
  <c r="U32" i="11"/>
  <c r="V32" i="8"/>
  <c r="U32" i="8"/>
  <c r="T137" i="8"/>
  <c r="S49" i="10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V41" i="2" l="1"/>
  <c r="U41" i="9"/>
  <c r="S49" i="2"/>
  <c r="S49" i="9"/>
  <c r="S49" i="11"/>
  <c r="S49" i="8"/>
  <c r="V41" i="11"/>
  <c r="Z2" i="1"/>
  <c r="Y2" i="10"/>
  <c r="Y146" i="10" s="1"/>
  <c r="Y2" i="11"/>
  <c r="Y146" i="11" s="1"/>
  <c r="Y2" i="8"/>
  <c r="Y146" i="8" s="1"/>
  <c r="Y2" i="9"/>
  <c r="Y146" i="9" s="1"/>
  <c r="Y2" i="7"/>
  <c r="Y8" i="7" s="1"/>
  <c r="Y2" i="2"/>
  <c r="Y146" i="2" s="1"/>
  <c r="U41" i="8"/>
  <c r="U41" i="10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V30" i="8"/>
  <c r="R50" i="8"/>
  <c r="R50" i="10"/>
  <c r="V30" i="10"/>
  <c r="U30" i="10"/>
  <c r="V20" i="8"/>
  <c r="U20" i="8"/>
  <c r="R51" i="8"/>
  <c r="Q137" i="9"/>
  <c r="P137" i="9"/>
  <c r="O137" i="9"/>
  <c r="Q137" i="8"/>
  <c r="P137" i="8"/>
  <c r="O137" i="8"/>
  <c r="R50" i="9"/>
  <c r="V30" i="9"/>
  <c r="U30" i="9"/>
  <c r="R50" i="11"/>
  <c r="U30" i="11"/>
  <c r="V30" i="11"/>
  <c r="P137" i="11"/>
  <c r="Q137" i="11"/>
  <c r="O137" i="11"/>
  <c r="Q49" i="2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S51" i="2"/>
  <c r="V21" i="2"/>
  <c r="U21" i="2"/>
  <c r="S50" i="2"/>
  <c r="U31" i="2"/>
  <c r="V31" i="2"/>
  <c r="U20" i="2"/>
  <c r="V20" i="2"/>
  <c r="R51" i="2"/>
  <c r="J138" i="2"/>
  <c r="J140" i="2" s="1"/>
  <c r="J138" i="11" l="1"/>
  <c r="J140" i="11" s="1"/>
  <c r="V148" i="11" s="1"/>
  <c r="V18" i="7" s="1"/>
  <c r="Z2" i="11"/>
  <c r="Z146" i="11" s="1"/>
  <c r="Z2" i="9"/>
  <c r="Z146" i="9" s="1"/>
  <c r="Z2" i="8"/>
  <c r="Z146" i="8" s="1"/>
  <c r="Z2" i="10"/>
  <c r="Z146" i="10" s="1"/>
  <c r="Z2" i="7"/>
  <c r="Z8" i="7" s="1"/>
  <c r="Z2" i="2"/>
  <c r="Z146" i="2" s="1"/>
  <c r="J138" i="9"/>
  <c r="J140" i="9" s="1"/>
  <c r="Z148" i="9" s="1"/>
  <c r="Z14" i="7" s="1"/>
  <c r="J138" i="8"/>
  <c r="J140" i="8" s="1"/>
  <c r="Y148" i="8" s="1"/>
  <c r="Y12" i="7" s="1"/>
  <c r="J138" i="10"/>
  <c r="J140" i="10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O148" i="8" l="1"/>
  <c r="O12" i="7" s="1"/>
  <c r="W148" i="9"/>
  <c r="W14" i="7" s="1"/>
  <c r="V148" i="9"/>
  <c r="V14" i="7" s="1"/>
  <c r="T148" i="9"/>
  <c r="T14" i="7" s="1"/>
  <c r="Z148" i="8"/>
  <c r="Z12" i="7" s="1"/>
  <c r="Q148" i="11"/>
  <c r="Q18" i="7" s="1"/>
  <c r="S148" i="9"/>
  <c r="S14" i="7" s="1"/>
  <c r="X148" i="9"/>
  <c r="X14" i="7" s="1"/>
  <c r="Y148" i="11"/>
  <c r="Y18" i="7" s="1"/>
  <c r="P148" i="9"/>
  <c r="P14" i="7" s="1"/>
  <c r="Y148" i="9"/>
  <c r="Y14" i="7" s="1"/>
  <c r="P148" i="11"/>
  <c r="P18" i="7" s="1"/>
  <c r="S148" i="11"/>
  <c r="S18" i="7" s="1"/>
  <c r="R148" i="11"/>
  <c r="R18" i="7" s="1"/>
  <c r="T148" i="11"/>
  <c r="T18" i="7" s="1"/>
  <c r="X148" i="11"/>
  <c r="X18" i="7" s="1"/>
  <c r="O148" i="11"/>
  <c r="O18" i="7" s="1"/>
  <c r="U148" i="11"/>
  <c r="U18" i="7" s="1"/>
  <c r="W148" i="11"/>
  <c r="W18" i="7" s="1"/>
  <c r="Z148" i="11"/>
  <c r="Z18" i="7" s="1"/>
  <c r="U148" i="9"/>
  <c r="U14" i="7" s="1"/>
  <c r="O148" i="9"/>
  <c r="O14" i="7" s="1"/>
  <c r="Q148" i="8"/>
  <c r="Q12" i="7" s="1"/>
  <c r="V148" i="8"/>
  <c r="V12" i="7" s="1"/>
  <c r="T148" i="8"/>
  <c r="T12" i="7" s="1"/>
  <c r="R148" i="8"/>
  <c r="R12" i="7" s="1"/>
  <c r="R148" i="9"/>
  <c r="R14" i="7" s="1"/>
  <c r="Q148" i="9"/>
  <c r="Q14" i="7" s="1"/>
  <c r="P148" i="8"/>
  <c r="P12" i="7" s="1"/>
  <c r="X148" i="8"/>
  <c r="X12" i="7" s="1"/>
  <c r="W148" i="8"/>
  <c r="W12" i="7" s="1"/>
  <c r="U148" i="8"/>
  <c r="U12" i="7" s="1"/>
  <c r="S148" i="8"/>
  <c r="S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U128" i="11" l="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R149" i="9"/>
  <c r="Z149" i="2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<sst xmlns="http://schemas.openxmlformats.org/spreadsheetml/2006/main" count="666" uniqueCount="202">
  <si>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</si>
  <si>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</si>
  <si>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</si>
  <si>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</si>
  <si>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</si>
  <si>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</si>
  <si>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</si>
  <si>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</si>
  <si>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</si>
  <si>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</si>
  <si>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</si>
  <si>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</si>
  <si>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</si>
  <si>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</si>
  <si>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</si>
  <si>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</si>
  <si>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</si>
  <si>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</si>
  <si>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</si>
  <si>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</si>
  <si>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</si>
  <si>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</si>
  <si>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</si>
  <si>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</si>
  <si>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</si>
  <si>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</si>
  <si>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</si>
  <si>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</si>
  <si>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</si>
  <si>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</si>
  <si>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</si>
  <si>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</si>
  <si>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</si>
  <si>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</si>
  <si>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</si>
  <si>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</si>
  <si>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</si>
  <si>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</si>
  <si>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</si>
  <si>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</si>
  <si>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</si>
  <si>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</si>
  <si>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</si>
  <si>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</si>
  <si>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Load Duration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</si>
  <si>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</si>
  <si>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</si>
  <si>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</si>
  <si>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</si>
  <si>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</si>
  <si>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</si>
  <si>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</si>
  <si>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</si>
  <si>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</si>
  <si>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</si>
  <si>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</si>
  <si>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</si>
  <si>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</si>
  <si>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</si>
  <si>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</si>
  <si>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</si>
  <si>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</si>
  <si>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</si>
  <si>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</si>
  <si>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</si>
  <si>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</si>
  <si>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</si>
  <si>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</si>
  <si>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</si>
  <si>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</si>
  <si>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</si>
  <si>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</si>
  <si>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</si>
  <si>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</si>
  <si>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</si>
  <si>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</si>
  <si>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</si>
  <si>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</si>
  <si>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</si>
  <si>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</si>
  <si>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</si>
  <si>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</si>
  <si>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</si>
  <si>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</si>
  <si>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</si>
  <si>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</si>
  <si>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</si>
  <si>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</si>
  <si>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</si>
  <si>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</si>
  <si>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</si>
  <si>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</si>
  <si>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</si>
  <si>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</si>
  <si>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</si>
  <si>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</si>
  <si>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</si>
  <si>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</si>
  <si>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</si>
  <si>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</si>
  <si>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</si>
  <si>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</si>
  <si>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</si>
  <si>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</si>
  <si>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</si>
  <si>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</si>
  <si>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</si>
  <si>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</si>
  <si>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</si>
  <si>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</si>
  <si>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</si>
  <si>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</si>
  <si>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</si>
  <si>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</si>
  <si>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</si>
  <si>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</si>
  <si>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</si>
  <si>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</si>
  <si>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</si>
  <si>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</si>
  <si>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</si>
  <si>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</si>
  <si>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</si>
  <si>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</si>
  <si>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</si>
  <si>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</si>
  <si>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</si>
  <si>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</si>
  <si>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</si>
  <si>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</si>
  <si>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</si>
  <si>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</si>
  <si>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</si>
  <si>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</si>
  <si>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</si>
  <si>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</si>
  <si>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</si>
  <si>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</si>
  <si>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</si>
  <si>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</si>
  <si>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</si>
  <si>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</si>
  <si>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</si>
  <si>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</si>
  <si>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</si>
  <si>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</si>
  <si>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</si>
  <si>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</si>
  <si>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</si>
  <si>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</si>
  <si>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</si>
  <si>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</si>
  <si>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</si>
  <si>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</si>
  <si>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</si>
  <si>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</si>
  <si>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</si>
  <si>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</si>
  <si>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</si>
  <si>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Expected average unserved energy @ VCR</t>
  </si>
  <si>
    <t>[Spare]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</si>
  <si>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</si>
  <si>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</si>
  <si>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</si>
  <si>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</si>
  <si>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</si>
  <si>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</si>
  <si>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</si>
  <si>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</si>
  <si>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</si>
  <si>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</si>
  <si>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</si>
  <si>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</si>
  <si>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</si>
  <si>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</si>
  <si>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</si>
  <si>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</si>
  <si>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</si>
  <si>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</si>
  <si>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</si>
  <si>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</si>
  <si>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</si>
  <si>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</si>
  <si>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</si>
  <si>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</si>
  <si>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</si>
  <si>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</si>
  <si>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</si>
  <si>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</si>
  <si>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</si>
  <si>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Weighted VCR
$/MWh ($2018)</t>
  </si>
  <si>
    <t>Load Duration Adjusted VCR $/MWh ($2021)</t>
  </si>
  <si>
    <t>Sections lost</t>
  </si>
  <si>
    <t>Total Sections</t>
  </si>
  <si>
    <t>CitiPower</t>
  </si>
  <si>
    <t>CBD Cable Pits</t>
  </si>
  <si>
    <t>Pit repair cost</t>
  </si>
  <si>
    <t>Electrical Asset repair</t>
  </si>
  <si>
    <t>Damage to telecommunications</t>
  </si>
  <si>
    <t>Pit section repair cost</t>
  </si>
  <si>
    <t>Safety consequence - pulling eyes</t>
  </si>
  <si>
    <t>Safety consequence - ladder supports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</si>
</sst>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);\(#,##0\);\-\-_)"/>
    <numFmt numFmtId="165" formatCode="#,##0.0%;[Red]\(#,##0.0%\);\-\-\%"/>
    <numFmt numFmtId="166" formatCode="#,##0;[Red]\(#,##0\);\-\-"/>
    <numFmt numFmtId="167" formatCode="0.0%"/>
    <numFmt numFmtId="168" formatCode="#,##0.00%;[Red]\(#,##0.00%\);\-\-\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6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166" fontId="8" fillId="5" borderId="6" xfId="0" applyNumberFormat="1" applyFont="1" applyFill="1" applyBorder="1" applyProtection="1"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0" fontId="8" fillId="0" borderId="5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14" fillId="5" borderId="1" xfId="0" applyNumberFormat="1" applyFont="1" applyFill="1" applyBorder="1"/>
    <xf numFmtId="0" fontId="8" fillId="0" borderId="0" xfId="0" applyFont="1" applyAlignment="1">
      <alignment horizontal="right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  <xf numFmtId="168" fontId="8" fillId="4" borderId="1" xfId="0" applyNumberFormat="1" applyFont="1" applyFill="1" applyBorder="1" applyAlignment="1">
      <alignment horizontal="center"/>
    </xf>
    <xf numFmtId="168" fontId="8" fillId="4" borderId="1" xfId="0" applyNumberFormat="1" applyFont="1" applyFill="1" applyBorder="1"/>
    <xf numFmtId="166" fontId="8" fillId="6" borderId="1" xfId="0" applyNumberFormat="1" applyFont="1" applyFill="1" applyBorder="1" applyProtection="1">
      <protection locked="0"/>
    </xf>
    <xf numFmtId="166" fontId="13" fillId="6" borderId="6" xfId="0" applyNumberFormat="1" applyFont="1" applyFill="1" applyBorder="1" applyProtection="1">
      <protection locked="0"/>
    </xf>
    <xf numFmtId="166" fontId="12" fillId="6" borderId="1" xfId="0" applyNumberFormat="1" applyFont="1" applyFill="1" applyBorder="1" applyProtection="1">
      <protection locked="0"/>
    </xf>
    <xf numFmtId="0" fontId="8" fillId="5" borderId="26" xfId="0" applyFont="1" applyFill="1" applyBorder="1" applyAlignment="1" applyProtection="1">
      <alignment horizontal="left"/>
      <protection locked="0"/>
    </xf>
    <xf numFmtId="0" fontId="8" fillId="4" borderId="27" xfId="0" applyFont="1" applyFill="1" applyBorder="1" applyProtection="1"/>
    <xf numFmtId="0" fontId="8" fillId="4" borderId="28" xfId="0" applyFont="1" applyFill="1" applyBorder="1" applyProtection="1"/>
    <xf numFmtId="0" fontId="8" fillId="4" borderId="29" xfId="0" applyFont="1" applyFill="1" applyBorder="1" applyProtection="1"/>
    <xf numFmtId="0" fontId="8" fillId="4" borderId="30" xfId="0" applyFont="1" applyFill="1" applyBorder="1" applyProtection="1"/>
    <xf numFmtId="166" fontId="8" fillId="4" borderId="27" xfId="0" applyNumberFormat="1" applyFont="1" applyFill="1" applyBorder="1" applyProtection="1">
      <protection locked="0"/>
    </xf>
    <xf numFmtId="165" fontId="8" fillId="4" borderId="31" xfId="0" applyNumberFormat="1" applyFont="1" applyFill="1" applyBorder="1" applyAlignment="1" applyProtection="1">
      <alignment horizontal="center"/>
      <protection locked="0"/>
    </xf>
    <xf numFmtId="166" fontId="8" fillId="0" borderId="26" xfId="0" applyNumberFormat="1" applyFont="1" applyFill="1" applyBorder="1" applyProtection="1">
      <protection locked="0"/>
    </xf>
    <xf numFmtId="166" fontId="8" fillId="0" borderId="32" xfId="0" applyNumberFormat="1" applyFont="1" applyFill="1" applyBorder="1" applyProtection="1">
      <protection locked="0"/>
    </xf>
    <xf numFmtId="0" fontId="8" fillId="4" borderId="33" xfId="0" applyFont="1" applyFill="1" applyBorder="1" applyProtection="1"/>
    <xf numFmtId="0" fontId="8" fillId="4" borderId="34" xfId="0" applyFont="1" applyFill="1" applyBorder="1" applyProtection="1"/>
    <xf numFmtId="0" fontId="8" fillId="4" borderId="35" xfId="0" applyFont="1" applyFill="1" applyBorder="1" applyProtection="1"/>
    <xf numFmtId="166" fontId="8" fillId="4" borderId="33" xfId="0" applyNumberFormat="1" applyFont="1" applyFill="1" applyBorder="1" applyProtection="1">
      <protection locked="0"/>
    </xf>
    <xf numFmtId="165" fontId="8" fillId="4" borderId="36" xfId="0" applyNumberFormat="1" applyFont="1" applyFill="1" applyBorder="1" applyAlignment="1" applyProtection="1">
      <alignment horizontal="center"/>
      <protection locked="0"/>
    </xf>
    <xf numFmtId="166" fontId="8" fillId="6" borderId="1" xfId="0" applyNumberFormat="1" applyFont="1" applyFill="1" applyBorder="1"/>
    <xf numFmtId="165" fontId="8" fillId="6" borderId="1" xfId="0" applyNumberFormat="1" applyFont="1" applyFill="1" applyBorder="1"/>
    <xf numFmtId="0" fontId="8" fillId="6" borderId="0" xfId="0" applyFont="1" applyFill="1"/>
    <xf numFmtId="165" fontId="8" fillId="6" borderId="6" xfId="0" applyNumberFormat="1" applyFont="1" applyFill="1" applyBorder="1"/>
    <xf numFmtId="166" fontId="8" fillId="6" borderId="6" xfId="0" applyNumberFormat="1" applyFont="1" applyFill="1" applyBorder="1"/>
    <xf numFmtId="166" fontId="8" fillId="6" borderId="0" xfId="0" applyNumberFormat="1" applyFont="1" applyFill="1"/>
    <xf numFmtId="167" fontId="8" fillId="6" borderId="0" xfId="0" applyNumberFormat="1" applyFont="1" applyFill="1"/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5" borderId="11" xfId="0" applyNumberFormat="1" applyFont="1" applyFill="1" applyBorder="1" applyProtection="1"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493072.80000000005</c:v>
                </c:pt>
                <c:pt idx="1">
                  <c:v>541813.80000000005</c:v>
                </c:pt>
                <c:pt idx="2">
                  <c:v>596292.60000000009</c:v>
                </c:pt>
                <c:pt idx="3">
                  <c:v>656073.60000000009</c:v>
                </c:pt>
                <c:pt idx="4">
                  <c:v>721667.4</c:v>
                </c:pt>
                <c:pt idx="5">
                  <c:v>793434.60000000009</c:v>
                </c:pt>
                <c:pt idx="6">
                  <c:v>872757</c:v>
                </c:pt>
                <c:pt idx="7">
                  <c:v>959995.20000000007</c:v>
                </c:pt>
                <c:pt idx="8">
                  <c:v>1056170.4000000001</c:v>
                </c:pt>
                <c:pt idx="9">
                  <c:v>1161568.2000000002</c:v>
                </c:pt>
                <c:pt idx="10">
                  <c:v>1278081</c:v>
                </c:pt>
                <c:pt idx="11">
                  <c:v>1405708.8000000003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61-47D8-AF8D-F2967D518B64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1245366.7782502202</c:v>
                </c:pt>
                <c:pt idx="1">
                  <c:v>1245366.7782502202</c:v>
                </c:pt>
                <c:pt idx="2">
                  <c:v>1245366.7782502202</c:v>
                </c:pt>
                <c:pt idx="3">
                  <c:v>1245366.7782502202</c:v>
                </c:pt>
                <c:pt idx="4">
                  <c:v>1245366.7782502202</c:v>
                </c:pt>
                <c:pt idx="5">
                  <c:v>1245366.7782502202</c:v>
                </c:pt>
                <c:pt idx="6">
                  <c:v>1245366.7782502202</c:v>
                </c:pt>
                <c:pt idx="7">
                  <c:v>1245366.7782502202</c:v>
                </c:pt>
                <c:pt idx="8">
                  <c:v>1245366.7782502202</c:v>
                </c:pt>
                <c:pt idx="9">
                  <c:v>1245366.7782502202</c:v>
                </c:pt>
                <c:pt idx="10">
                  <c:v>1245366.7782502202</c:v>
                </c:pt>
                <c:pt idx="11">
                  <c:v>1245366.7782502202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61-47D8-AF8D-F2967D518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40320"/>
        <c:axId val="254046208"/>
      </c:lineChart>
      <c:catAx>
        <c:axId val="2540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4046208"/>
        <c:crosses val="autoZero"/>
        <c:auto val="1"/>
        <c:lblAlgn val="ctr"/>
        <c:lblOffset val="100"/>
        <c:noMultiLvlLbl val="0"/>
      </c:catAx>
      <c:valAx>
        <c:axId val="25404620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404032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438856.02</c:v>
                </c:pt>
                <c:pt idx="1">
                  <c:v>482237.82000000007</c:v>
                </c:pt>
                <c:pt idx="2">
                  <c:v>530726.04</c:v>
                </c:pt>
                <c:pt idx="3">
                  <c:v>583933.14000000013</c:v>
                </c:pt>
                <c:pt idx="4">
                  <c:v>642315.06000000006</c:v>
                </c:pt>
                <c:pt idx="5">
                  <c:v>706190.94000000006</c:v>
                </c:pt>
                <c:pt idx="6">
                  <c:v>776791.8</c:v>
                </c:pt>
                <c:pt idx="7">
                  <c:v>854436.78</c:v>
                </c:pt>
                <c:pt idx="8">
                  <c:v>940037.76</c:v>
                </c:pt>
                <c:pt idx="9">
                  <c:v>1033845.4800000002</c:v>
                </c:pt>
                <c:pt idx="10">
                  <c:v>1137546.9000000001</c:v>
                </c:pt>
                <c:pt idx="11">
                  <c:v>1251142.0200000003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15-4CAD-9C55-5C675C375582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1369903.4560752423</c:v>
                </c:pt>
                <c:pt idx="1">
                  <c:v>1369903.4560752423</c:v>
                </c:pt>
                <c:pt idx="2">
                  <c:v>1369903.4560752423</c:v>
                </c:pt>
                <c:pt idx="3">
                  <c:v>1369903.4560752423</c:v>
                </c:pt>
                <c:pt idx="4">
                  <c:v>1369903.4560752423</c:v>
                </c:pt>
                <c:pt idx="5">
                  <c:v>1369903.4560752423</c:v>
                </c:pt>
                <c:pt idx="6">
                  <c:v>1369903.4560752423</c:v>
                </c:pt>
                <c:pt idx="7">
                  <c:v>1369903.4560752423</c:v>
                </c:pt>
                <c:pt idx="8">
                  <c:v>1369903.4560752423</c:v>
                </c:pt>
                <c:pt idx="9">
                  <c:v>1369903.4560752423</c:v>
                </c:pt>
                <c:pt idx="10">
                  <c:v>1369903.4560752423</c:v>
                </c:pt>
                <c:pt idx="11">
                  <c:v>1369903.4560752423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15-4CAD-9C55-5C675C375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80128"/>
        <c:axId val="254081664"/>
      </c:lineChart>
      <c:catAx>
        <c:axId val="2540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4081664"/>
        <c:crosses val="autoZero"/>
        <c:auto val="1"/>
        <c:lblAlgn val="ctr"/>
        <c:lblOffset val="100"/>
        <c:noMultiLvlLbl val="0"/>
      </c:catAx>
      <c:valAx>
        <c:axId val="2540816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408012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428641.02</c:v>
                </c:pt>
                <c:pt idx="1">
                  <c:v>471013.02000000014</c:v>
                </c:pt>
                <c:pt idx="2">
                  <c:v>518372.64000000013</c:v>
                </c:pt>
                <c:pt idx="3">
                  <c:v>570341.34000000008</c:v>
                </c:pt>
                <c:pt idx="4">
                  <c:v>627364.26000000013</c:v>
                </c:pt>
                <c:pt idx="5">
                  <c:v>689753.34000000008</c:v>
                </c:pt>
                <c:pt idx="6">
                  <c:v>758710.8</c:v>
                </c:pt>
                <c:pt idx="7">
                  <c:v>834548.58000000007</c:v>
                </c:pt>
                <c:pt idx="8">
                  <c:v>918156.96000000008</c:v>
                </c:pt>
                <c:pt idx="9">
                  <c:v>1009781.2800000001</c:v>
                </c:pt>
                <c:pt idx="10">
                  <c:v>1111068.9000000001</c:v>
                </c:pt>
                <c:pt idx="11">
                  <c:v>1222019.8200000003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D5C-455B-9A23-69B80BB4C81F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1120830.100425198</c:v>
                </c:pt>
                <c:pt idx="1">
                  <c:v>1120830.100425198</c:v>
                </c:pt>
                <c:pt idx="2">
                  <c:v>1120830.100425198</c:v>
                </c:pt>
                <c:pt idx="3">
                  <c:v>1120830.100425198</c:v>
                </c:pt>
                <c:pt idx="4">
                  <c:v>1120830.100425198</c:v>
                </c:pt>
                <c:pt idx="5">
                  <c:v>1120830.100425198</c:v>
                </c:pt>
                <c:pt idx="6">
                  <c:v>1120830.100425198</c:v>
                </c:pt>
                <c:pt idx="7">
                  <c:v>1120830.100425198</c:v>
                </c:pt>
                <c:pt idx="8">
                  <c:v>1120830.100425198</c:v>
                </c:pt>
                <c:pt idx="9">
                  <c:v>1120830.100425198</c:v>
                </c:pt>
                <c:pt idx="10">
                  <c:v>1120830.100425198</c:v>
                </c:pt>
                <c:pt idx="11">
                  <c:v>1120830.100425198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5C-455B-9A23-69B80BB4C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34176"/>
        <c:axId val="256435712"/>
      </c:lineChart>
      <c:catAx>
        <c:axId val="2564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6435712"/>
        <c:crosses val="autoZero"/>
        <c:auto val="1"/>
        <c:lblAlgn val="ctr"/>
        <c:lblOffset val="100"/>
        <c:noMultiLvlLbl val="0"/>
      </c:catAx>
      <c:valAx>
        <c:axId val="25643571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643417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560865.58000000007</c:v>
                </c:pt>
                <c:pt idx="1">
                  <c:v>616307.78000000014</c:v>
                </c:pt>
                <c:pt idx="2">
                  <c:v>678277.16000000015</c:v>
                </c:pt>
                <c:pt idx="3">
                  <c:v>746278.06000000017</c:v>
                </c:pt>
                <c:pt idx="4">
                  <c:v>820889.74000000011</c:v>
                </c:pt>
                <c:pt idx="5">
                  <c:v>902524.26000000013</c:v>
                </c:pt>
                <c:pt idx="6">
                  <c:v>992752.20000000019</c:v>
                </c:pt>
                <c:pt idx="7">
                  <c:v>1091985.6200000001</c:v>
                </c:pt>
                <c:pt idx="8">
                  <c:v>1201383.04</c:v>
                </c:pt>
                <c:pt idx="9">
                  <c:v>1321272.9200000004</c:v>
                </c:pt>
                <c:pt idx="10">
                  <c:v>1453805.1000000003</c:v>
                </c:pt>
                <c:pt idx="11">
                  <c:v>1598979.5800000003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89-4F59-A1E2-BE85A0084054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1369903.4560752423</c:v>
                </c:pt>
                <c:pt idx="1">
                  <c:v>1369903.4560752423</c:v>
                </c:pt>
                <c:pt idx="2">
                  <c:v>1369903.4560752423</c:v>
                </c:pt>
                <c:pt idx="3">
                  <c:v>1369903.4560752423</c:v>
                </c:pt>
                <c:pt idx="4">
                  <c:v>1369903.4560752423</c:v>
                </c:pt>
                <c:pt idx="5">
                  <c:v>1369903.4560752423</c:v>
                </c:pt>
                <c:pt idx="6">
                  <c:v>1369903.4560752423</c:v>
                </c:pt>
                <c:pt idx="7">
                  <c:v>1369903.4560752423</c:v>
                </c:pt>
                <c:pt idx="8">
                  <c:v>1369903.4560752423</c:v>
                </c:pt>
                <c:pt idx="9">
                  <c:v>1369903.4560752423</c:v>
                </c:pt>
                <c:pt idx="10">
                  <c:v>1369903.4560752423</c:v>
                </c:pt>
                <c:pt idx="11">
                  <c:v>1369903.4560752423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C89-4F59-A1E2-BE85A0084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41792"/>
        <c:axId val="257843584"/>
      </c:lineChart>
      <c:catAx>
        <c:axId val="25784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7843584"/>
        <c:crosses val="autoZero"/>
        <c:auto val="1"/>
        <c:lblAlgn val="ctr"/>
        <c:lblOffset val="100"/>
        <c:noMultiLvlLbl val="0"/>
      </c:catAx>
      <c:valAx>
        <c:axId val="25784358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7841792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548380.58000000007</c:v>
                </c:pt>
                <c:pt idx="1">
                  <c:v>602588.58000000007</c:v>
                </c:pt>
                <c:pt idx="2">
                  <c:v>663178.56000000017</c:v>
                </c:pt>
                <c:pt idx="3">
                  <c:v>729665.8600000001</c:v>
                </c:pt>
                <c:pt idx="4">
                  <c:v>802616.54</c:v>
                </c:pt>
                <c:pt idx="5">
                  <c:v>882433.8600000001</c:v>
                </c:pt>
                <c:pt idx="6">
                  <c:v>970653.20000000019</c:v>
                </c:pt>
                <c:pt idx="7">
                  <c:v>1067677.82</c:v>
                </c:pt>
                <c:pt idx="8">
                  <c:v>1174639.8400000001</c:v>
                </c:pt>
                <c:pt idx="9">
                  <c:v>1291861.1200000003</c:v>
                </c:pt>
                <c:pt idx="10">
                  <c:v>1421443.1000000003</c:v>
                </c:pt>
                <c:pt idx="11">
                  <c:v>1563385.7800000003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77C-47EC-AD87-78AB543209EE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1120830.100425198</c:v>
                </c:pt>
                <c:pt idx="1">
                  <c:v>1120830.100425198</c:v>
                </c:pt>
                <c:pt idx="2">
                  <c:v>1120830.100425198</c:v>
                </c:pt>
                <c:pt idx="3">
                  <c:v>1120830.100425198</c:v>
                </c:pt>
                <c:pt idx="4">
                  <c:v>1120830.100425198</c:v>
                </c:pt>
                <c:pt idx="5">
                  <c:v>1120830.100425198</c:v>
                </c:pt>
                <c:pt idx="6">
                  <c:v>1120830.100425198</c:v>
                </c:pt>
                <c:pt idx="7">
                  <c:v>1120830.100425198</c:v>
                </c:pt>
                <c:pt idx="8">
                  <c:v>1120830.100425198</c:v>
                </c:pt>
                <c:pt idx="9">
                  <c:v>1120830.100425198</c:v>
                </c:pt>
                <c:pt idx="10">
                  <c:v>1120830.100425198</c:v>
                </c:pt>
                <c:pt idx="11">
                  <c:v>1120830.100425198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7C-47EC-AD87-78AB54320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58560"/>
        <c:axId val="257876736"/>
      </c:lineChart>
      <c:catAx>
        <c:axId val="25785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7876736"/>
        <c:crosses val="autoZero"/>
        <c:auto val="1"/>
        <c:lblAlgn val="ctr"/>
        <c:lblOffset val="100"/>
        <c:noMultiLvlLbl val="0"/>
      </c:catAx>
      <c:valAx>
        <c:axId val="2578767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78585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>
      <selection activeCell="P31" sqref="P31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CBD Cable Pits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194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195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5" customHeight="1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28400000</v>
      </c>
      <c r="K21" s="10"/>
      <c r="L21" s="10"/>
      <c r="M21" s="10"/>
      <c r="N21" s="10"/>
      <c r="O21" s="18">
        <v>0</v>
      </c>
      <c r="P21" s="18">
        <v>1700000</v>
      </c>
      <c r="Q21" s="18">
        <v>2400000</v>
      </c>
      <c r="R21" s="18">
        <v>2700000</v>
      </c>
      <c r="S21" s="18">
        <v>2700000</v>
      </c>
      <c r="T21" s="18">
        <v>2700000</v>
      </c>
      <c r="U21" s="18">
        <v>2700000</v>
      </c>
      <c r="V21" s="18">
        <v>2700000</v>
      </c>
      <c r="W21" s="18">
        <v>2700000</v>
      </c>
      <c r="X21" s="18">
        <v>2700000</v>
      </c>
      <c r="Y21" s="18">
        <v>2700000</v>
      </c>
      <c r="Z21" s="18">
        <v>2700000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29429437.168141592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1761621.2389380531</v>
      </c>
      <c r="Q22" s="19">
        <f t="shared" si="2"/>
        <v>2486994.6902654869</v>
      </c>
      <c r="R22" s="19">
        <f t="shared" si="2"/>
        <v>2797869.0265486729</v>
      </c>
      <c r="S22" s="19">
        <f t="shared" si="2"/>
        <v>2797869.0265486729</v>
      </c>
      <c r="T22" s="19">
        <f t="shared" si="2"/>
        <v>2797869.0265486729</v>
      </c>
      <c r="U22" s="19">
        <f t="shared" si="2"/>
        <v>2797869.0265486729</v>
      </c>
      <c r="V22" s="19">
        <f t="shared" si="2"/>
        <v>2797869.0265486729</v>
      </c>
      <c r="W22" s="19">
        <f t="shared" si="2"/>
        <v>2797869.0265486729</v>
      </c>
      <c r="X22" s="19">
        <f t="shared" si="2"/>
        <v>2797869.0265486729</v>
      </c>
      <c r="Y22" s="19">
        <f t="shared" si="2"/>
        <v>2797869.0265486729</v>
      </c>
      <c r="Z22" s="19">
        <f t="shared" si="2"/>
        <v>2797869.0265486729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5" customHeight="1" x14ac:dyDescent="0.4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4.25" customHeight="1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37">
        <v>0</v>
      </c>
      <c r="K26" s="137">
        <v>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37">
        <f>J26*HLOOKUP($J$10,$O$16:$Z$17,2,0)</f>
        <v>0</v>
      </c>
      <c r="K27" s="137">
        <f>K26*HLOOKUP($J$10,$O$16:$Z$17,2,0)</f>
        <v>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19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21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0.9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1.1000000000000001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19">
        <v>1.0999999999999999E-2</v>
      </c>
      <c r="P64" s="15">
        <v>1.21E-2</v>
      </c>
      <c r="Q64" s="15">
        <v>1.3299999999999999E-2</v>
      </c>
      <c r="R64" s="15">
        <v>1.46E-2</v>
      </c>
      <c r="S64" s="15">
        <v>1.61E-2</v>
      </c>
      <c r="T64" s="15">
        <v>1.77E-2</v>
      </c>
      <c r="U64" s="15">
        <v>1.95E-2</v>
      </c>
      <c r="V64" s="15">
        <v>2.1399999999999999E-2</v>
      </c>
      <c r="W64" s="15">
        <v>2.3599999999999999E-2</v>
      </c>
      <c r="X64" s="15">
        <v>2.5899999999999999E-2</v>
      </c>
      <c r="Y64" s="15">
        <v>2.8500000000000001E-2</v>
      </c>
      <c r="Z64" s="15">
        <v>3.1399999999999997E-2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19">
        <v>1.06E-2</v>
      </c>
      <c r="P65" s="15">
        <v>1.1599999999999999E-2</v>
      </c>
      <c r="Q65" s="15">
        <v>1.2800000000000001E-2</v>
      </c>
      <c r="R65" s="15">
        <v>1.41E-2</v>
      </c>
      <c r="S65" s="15">
        <v>1.55E-2</v>
      </c>
      <c r="T65" s="15">
        <v>1.7000000000000001E-2</v>
      </c>
      <c r="U65" s="15">
        <v>1.8700000000000001E-2</v>
      </c>
      <c r="V65" s="15">
        <v>2.06E-2</v>
      </c>
      <c r="W65" s="15">
        <v>2.2599999999999999E-2</v>
      </c>
      <c r="X65" s="15">
        <v>2.4899999999999999E-2</v>
      </c>
      <c r="Y65" s="15">
        <v>2.7400000000000001E-2</v>
      </c>
      <c r="Z65" s="15">
        <v>3.0099999999999998E-2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21" t="s">
        <v>40</v>
      </c>
      <c r="E66" s="22"/>
      <c r="F66" s="22"/>
      <c r="G66" s="22"/>
      <c r="H66" s="22"/>
      <c r="I66" s="23"/>
      <c r="J66" s="30">
        <v>3</v>
      </c>
      <c r="K66" s="111"/>
      <c r="L66" s="111"/>
      <c r="M66" s="111"/>
      <c r="N66" s="111"/>
      <c r="O66" s="15">
        <v>0.1007</v>
      </c>
      <c r="P66" s="15">
        <v>0.11070000000000001</v>
      </c>
      <c r="Q66" s="15">
        <v>0.12180000000000001</v>
      </c>
      <c r="R66" s="15">
        <v>0.13400000000000001</v>
      </c>
      <c r="S66" s="15">
        <v>0.1474</v>
      </c>
      <c r="T66" s="15">
        <v>0.16209999999999999</v>
      </c>
      <c r="U66" s="15">
        <v>0.17829999999999999</v>
      </c>
      <c r="V66" s="15">
        <v>0.1961</v>
      </c>
      <c r="W66" s="15">
        <v>0.21579999999999999</v>
      </c>
      <c r="X66" s="15">
        <v>0.23730000000000001</v>
      </c>
      <c r="Y66" s="15">
        <v>0.2611</v>
      </c>
      <c r="Z66" s="15">
        <v>0.28720000000000001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190</v>
      </c>
      <c r="L70" s="31" t="s">
        <v>44</v>
      </c>
      <c r="M70" s="31" t="s">
        <v>191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45</v>
      </c>
      <c r="E71" s="10"/>
      <c r="F71" s="10"/>
      <c r="G71" s="10"/>
      <c r="H71" s="10"/>
      <c r="I71" s="10"/>
      <c r="J71" s="137"/>
      <c r="K71" s="137"/>
      <c r="L71" s="138"/>
      <c r="M71" s="137">
        <f>IFERROR(K71*J71/$J$75*L71*$W$17,0)</f>
        <v>0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46</v>
      </c>
      <c r="E72" s="10"/>
      <c r="F72" s="10"/>
      <c r="G72" s="10"/>
      <c r="H72" s="10"/>
      <c r="I72" s="10"/>
      <c r="J72" s="137"/>
      <c r="K72" s="137"/>
      <c r="L72" s="138"/>
      <c r="M72" s="137">
        <f t="shared" ref="M72:M74" si="7">IFERROR(K72*J72/$J$75*L72*$W$17,0)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47</v>
      </c>
      <c r="E73" s="10"/>
      <c r="F73" s="10"/>
      <c r="G73" s="10"/>
      <c r="H73" s="10"/>
      <c r="I73" s="10"/>
      <c r="J73" s="137"/>
      <c r="K73" s="137"/>
      <c r="L73" s="138"/>
      <c r="M73" s="137">
        <f t="shared" si="7"/>
        <v>0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48</v>
      </c>
      <c r="E74" s="29"/>
      <c r="F74" s="29"/>
      <c r="G74" s="29"/>
      <c r="H74" s="29"/>
      <c r="I74" s="29"/>
      <c r="J74" s="137"/>
      <c r="K74" s="137"/>
      <c r="L74" s="138"/>
      <c r="M74" s="137">
        <f t="shared" si="7"/>
        <v>0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49</v>
      </c>
      <c r="E75" s="10"/>
      <c r="F75" s="10"/>
      <c r="G75" s="10"/>
      <c r="H75" s="10"/>
      <c r="I75" s="10"/>
      <c r="J75" s="142">
        <f>SUM(J71:J74)</f>
        <v>0</v>
      </c>
      <c r="K75" s="142">
        <f>IFERROR(SUMPRODUCT(J71:J74,K71:K74)/J75,0)</f>
        <v>0</v>
      </c>
      <c r="L75" s="143">
        <f>IFERROR(M75/(K75*$W$17),0)</f>
        <v>0</v>
      </c>
      <c r="M75" s="142">
        <f>IFERROR(SUMPRODUCT(J71:J74,K71:K74,L71:L74)/J75*W17,0)</f>
        <v>0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50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51</v>
      </c>
      <c r="D79" s="9"/>
      <c r="E79" s="10"/>
      <c r="F79" s="10"/>
      <c r="G79" s="10"/>
      <c r="H79" s="10"/>
      <c r="I79" s="10"/>
      <c r="J79" s="30">
        <v>1</v>
      </c>
      <c r="K79" s="10"/>
      <c r="M79" s="115" t="s">
        <v>192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52</v>
      </c>
      <c r="D80" s="9"/>
      <c r="E80" s="10"/>
      <c r="F80" s="10"/>
      <c r="G80" s="10"/>
      <c r="H80" s="10"/>
      <c r="I80" s="10"/>
      <c r="J80" s="137"/>
      <c r="K80" s="10"/>
      <c r="L80" s="10" t="s">
        <v>193</v>
      </c>
      <c r="M80" s="114">
        <f>MAX(M81:M82)</f>
        <v>0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53</v>
      </c>
      <c r="E81" s="10"/>
      <c r="F81" s="10"/>
      <c r="G81" s="10"/>
      <c r="H81" s="10"/>
      <c r="I81" s="10"/>
      <c r="J81" s="137"/>
      <c r="K81" s="10"/>
      <c r="L81" s="10" t="str">
        <f>D64</f>
        <v>Significant</v>
      </c>
      <c r="M81" s="137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54</v>
      </c>
      <c r="E82" s="10"/>
      <c r="F82" s="10"/>
      <c r="G82" s="10"/>
      <c r="H82" s="10"/>
      <c r="I82" s="10"/>
      <c r="J82" s="137"/>
      <c r="K82" s="10"/>
      <c r="L82" s="10" t="str">
        <f>D65</f>
        <v>Major</v>
      </c>
      <c r="M82" s="137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55</v>
      </c>
      <c r="E83" s="10"/>
      <c r="F83" s="10"/>
      <c r="G83" s="10"/>
      <c r="H83" s="10"/>
      <c r="I83" s="10"/>
      <c r="J83" s="137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56</v>
      </c>
      <c r="E84" s="10"/>
      <c r="F84" s="10"/>
      <c r="G84" s="10"/>
      <c r="H84" s="10"/>
      <c r="I84" s="10"/>
      <c r="J84" s="137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57</v>
      </c>
      <c r="E85" s="29"/>
      <c r="F85" s="29"/>
      <c r="G85" s="29"/>
      <c r="H85" s="29"/>
      <c r="I85" s="29"/>
      <c r="J85" s="137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58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59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60</v>
      </c>
      <c r="D91" s="10"/>
      <c r="E91" s="10"/>
      <c r="F91" s="10"/>
      <c r="G91" s="10"/>
      <c r="H91" s="10"/>
      <c r="I91" s="10"/>
      <c r="J91" s="10" t="s">
        <v>61</v>
      </c>
      <c r="K91" s="10" t="s">
        <v>62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63</v>
      </c>
      <c r="E92" s="10"/>
      <c r="F92" s="10"/>
      <c r="G92" s="10"/>
      <c r="H92" s="10"/>
      <c r="I92" s="10"/>
      <c r="J92" s="137"/>
      <c r="K92" s="137">
        <f t="shared" ref="K92:K97" si="8">J92*HLOOKUP($J$10,$O$16:$Z$17,2,0)</f>
        <v>0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64</v>
      </c>
      <c r="E93" s="10"/>
      <c r="F93" s="10"/>
      <c r="G93" s="10"/>
      <c r="H93" s="10"/>
      <c r="I93" s="10"/>
      <c r="J93" s="137"/>
      <c r="K93" s="137">
        <f t="shared" si="8"/>
        <v>0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65</v>
      </c>
      <c r="E94" s="10"/>
      <c r="F94" s="10"/>
      <c r="G94" s="10"/>
      <c r="H94" s="10"/>
      <c r="I94" s="10"/>
      <c r="J94" s="137"/>
      <c r="K94" s="137">
        <f t="shared" si="8"/>
        <v>0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66</v>
      </c>
      <c r="E95" s="10"/>
      <c r="F95" s="10"/>
      <c r="G95" s="10"/>
      <c r="H95" s="10"/>
      <c r="I95" s="10"/>
      <c r="J95" s="137"/>
      <c r="K95" s="137">
        <f t="shared" si="8"/>
        <v>0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67</v>
      </c>
      <c r="E96" s="10"/>
      <c r="F96" s="10"/>
      <c r="G96" s="10"/>
      <c r="H96" s="10"/>
      <c r="I96" s="10"/>
      <c r="J96" s="137"/>
      <c r="K96" s="137">
        <f t="shared" si="8"/>
        <v>0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68</v>
      </c>
      <c r="E97" s="29"/>
      <c r="F97" s="29"/>
      <c r="G97" s="29"/>
      <c r="H97" s="29"/>
      <c r="I97" s="29"/>
      <c r="J97" s="137"/>
      <c r="K97" s="137">
        <f t="shared" si="8"/>
        <v>0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69</v>
      </c>
      <c r="D99" s="10"/>
      <c r="E99" s="10"/>
      <c r="F99" s="10"/>
      <c r="G99" s="10"/>
      <c r="H99" s="10"/>
      <c r="I99" s="10"/>
      <c r="J99" s="33" t="str">
        <f>D64</f>
        <v>Significant</v>
      </c>
      <c r="K99" s="33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70</v>
      </c>
      <c r="E100" s="10"/>
      <c r="F100" s="10"/>
      <c r="G100" s="10"/>
      <c r="H100" s="10"/>
      <c r="I100" s="10"/>
      <c r="J100" s="137"/>
      <c r="K100" s="137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71</v>
      </c>
      <c r="E101" s="10"/>
      <c r="F101" s="10"/>
      <c r="G101" s="10"/>
      <c r="H101" s="10"/>
      <c r="I101" s="10"/>
      <c r="J101" s="137"/>
      <c r="K101" s="137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72</v>
      </c>
      <c r="E102" s="10"/>
      <c r="F102" s="10"/>
      <c r="G102" s="10"/>
      <c r="H102" s="10"/>
      <c r="I102" s="10"/>
      <c r="J102" s="137"/>
      <c r="K102" s="137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73</v>
      </c>
      <c r="E103" s="10"/>
      <c r="F103" s="10"/>
      <c r="G103" s="10"/>
      <c r="H103" s="10"/>
      <c r="I103" s="10"/>
      <c r="J103" s="137"/>
      <c r="K103" s="137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74</v>
      </c>
      <c r="E104" s="29"/>
      <c r="F104" s="29"/>
      <c r="G104" s="29"/>
      <c r="H104" s="29"/>
      <c r="I104" s="29"/>
      <c r="J104" s="137"/>
      <c r="K104" s="137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75</v>
      </c>
      <c r="E105" s="10"/>
      <c r="F105" s="10"/>
      <c r="G105" s="10"/>
      <c r="H105" s="10"/>
      <c r="I105" s="10"/>
      <c r="J105" s="141">
        <f>SUMPRODUCT($K$94:$K$96,J102:J104)</f>
        <v>0</v>
      </c>
      <c r="K105" s="141">
        <f t="shared" ref="K105" si="9">SUMPRODUCT($K$94:$K$96,K102:K104)</f>
        <v>0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76</v>
      </c>
      <c r="E106" s="10"/>
      <c r="F106" s="10"/>
      <c r="G106" s="10"/>
      <c r="H106" s="10"/>
      <c r="I106" s="10"/>
      <c r="J106" s="137">
        <f>SUMPRODUCT($K$93:$K$96,J101:J104)</f>
        <v>0</v>
      </c>
      <c r="K106" s="137">
        <f t="shared" ref="K106" si="10">SUMPRODUCT($K$93:$K$96,K101:K104)</f>
        <v>0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77</v>
      </c>
      <c r="E107" s="29"/>
      <c r="F107" s="29"/>
      <c r="G107" s="29"/>
      <c r="H107" s="29"/>
      <c r="I107" s="29"/>
      <c r="J107" s="137">
        <f>SUMPRODUCT($K$92:$K$96,J100:J104)</f>
        <v>0</v>
      </c>
      <c r="K107" s="137">
        <f t="shared" ref="K107" si="11">SUMPRODUCT($K$92:$K$96,K100:K104)</f>
        <v>0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78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79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80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81</v>
      </c>
      <c r="E114" s="10"/>
      <c r="F114" s="10"/>
      <c r="G114" s="10"/>
      <c r="H114" s="10"/>
      <c r="I114" s="10"/>
      <c r="J114" s="137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82</v>
      </c>
      <c r="E115" s="10"/>
      <c r="F115" s="10"/>
      <c r="G115" s="10"/>
      <c r="H115" s="10"/>
      <c r="I115" s="10"/>
      <c r="J115" s="137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83</v>
      </c>
      <c r="E116" s="10"/>
      <c r="F116" s="10"/>
      <c r="G116" s="10"/>
      <c r="H116" s="10"/>
      <c r="I116" s="10"/>
      <c r="J116" s="137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84</v>
      </c>
      <c r="E117" s="10"/>
      <c r="F117" s="10"/>
      <c r="G117" s="10"/>
      <c r="H117" s="10"/>
      <c r="I117" s="10"/>
      <c r="J117" s="19">
        <f>IFERROR(ROUNDUP($J$115/$J$116,0),0)</f>
        <v>0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85</v>
      </c>
      <c r="E118" s="10"/>
      <c r="F118" s="10"/>
      <c r="G118" s="10"/>
      <c r="H118" s="10"/>
      <c r="I118" s="10"/>
      <c r="J118" s="137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86</v>
      </c>
      <c r="E119" s="10"/>
      <c r="F119" s="10"/>
      <c r="G119" s="10"/>
      <c r="H119" s="10"/>
      <c r="I119" s="10"/>
      <c r="J119" s="137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87</v>
      </c>
      <c r="E120" s="10"/>
      <c r="F120" s="10"/>
      <c r="G120" s="10"/>
      <c r="H120" s="10"/>
      <c r="I120" s="10"/>
      <c r="J120" s="137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88</v>
      </c>
      <c r="E121" s="10"/>
      <c r="F121" s="10"/>
      <c r="G121" s="10"/>
      <c r="H121" s="10"/>
      <c r="I121" s="10"/>
      <c r="J121" s="137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89</v>
      </c>
      <c r="E122" s="10"/>
      <c r="F122" s="10"/>
      <c r="G122" s="10"/>
      <c r="H122" s="10"/>
      <c r="I122" s="10"/>
      <c r="J122" s="137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90</v>
      </c>
      <c r="E123" s="29"/>
      <c r="F123" s="29"/>
      <c r="G123" s="29"/>
      <c r="H123" s="29"/>
      <c r="I123" s="29"/>
      <c r="J123" s="137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91</v>
      </c>
      <c r="D125" s="10"/>
      <c r="E125" s="10"/>
      <c r="F125" s="10"/>
      <c r="G125" s="10"/>
      <c r="H125" s="10"/>
      <c r="I125" s="10"/>
      <c r="J125" s="35" t="str">
        <f>J99</f>
        <v>Significant</v>
      </c>
      <c r="K125" s="35" t="str">
        <f t="shared" ref="K125" si="12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92</v>
      </c>
      <c r="E126" s="29"/>
      <c r="F126" s="29"/>
      <c r="G126" s="29"/>
      <c r="H126" s="29"/>
      <c r="I126" s="29"/>
      <c r="J126" s="137"/>
      <c r="K126" s="137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93</v>
      </c>
      <c r="E128" s="10"/>
      <c r="F128" s="10"/>
      <c r="G128" s="10"/>
      <c r="H128" s="10"/>
      <c r="I128" s="10"/>
      <c r="J128" s="137"/>
      <c r="K128" s="137"/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94</v>
      </c>
      <c r="E129" s="10"/>
      <c r="F129" s="10"/>
      <c r="G129" s="10"/>
      <c r="H129" s="10"/>
      <c r="I129" s="10"/>
      <c r="J129" s="137">
        <f>AVERAGE(O193:Z193)</f>
        <v>0</v>
      </c>
      <c r="K129" s="137">
        <f>AVERAGE(O194:Z194)</f>
        <v>0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95</v>
      </c>
      <c r="E130" s="10"/>
      <c r="F130" s="10"/>
      <c r="G130" s="10"/>
      <c r="H130" s="10"/>
      <c r="I130" s="10"/>
      <c r="J130" s="137">
        <f>IFERROR(ROUNDUP(J129/$J$114,0),0)</f>
        <v>0</v>
      </c>
      <c r="K130" s="137">
        <f>IFERROR(ROUNDUP(K129/$J$114,0),0)</f>
        <v>0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96</v>
      </c>
      <c r="E131" s="10"/>
      <c r="F131" s="10"/>
      <c r="G131" s="10"/>
      <c r="H131" s="10"/>
      <c r="I131" s="10"/>
      <c r="J131" s="137">
        <f t="shared" ref="J131:K132" si="13">IFERROR(ROUNDUP(J130/$J$114,0),0)</f>
        <v>0</v>
      </c>
      <c r="K131" s="137">
        <f t="shared" si="13"/>
        <v>0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97</v>
      </c>
      <c r="E132" s="29"/>
      <c r="F132" s="29"/>
      <c r="G132" s="29"/>
      <c r="H132" s="29"/>
      <c r="I132" s="29"/>
      <c r="J132" s="137">
        <f t="shared" si="13"/>
        <v>0</v>
      </c>
      <c r="K132" s="137">
        <f t="shared" si="13"/>
        <v>0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98</v>
      </c>
      <c r="D134" s="10"/>
      <c r="E134" s="10"/>
      <c r="F134" s="10"/>
      <c r="G134" s="10"/>
      <c r="H134" s="10"/>
      <c r="I134" s="10"/>
      <c r="J134" s="10" t="s">
        <v>61</v>
      </c>
      <c r="K134" s="10" t="s">
        <v>62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99</v>
      </c>
      <c r="E135" s="10"/>
      <c r="F135" s="10"/>
      <c r="G135" s="10"/>
      <c r="H135" s="10"/>
      <c r="I135" s="10"/>
      <c r="J135" s="137"/>
      <c r="K135" s="137">
        <f t="shared" ref="K135:K146" si="14">J135*HLOOKUP($J$10,$O$16:$Z$17,2,0)</f>
        <v>0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100</v>
      </c>
      <c r="E136" s="10"/>
      <c r="F136" s="10"/>
      <c r="G136" s="10"/>
      <c r="H136" s="10"/>
      <c r="I136" s="10"/>
      <c r="J136" s="137"/>
      <c r="K136" s="137">
        <f t="shared" si="14"/>
        <v>0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101</v>
      </c>
      <c r="E137" s="10"/>
      <c r="F137" s="10"/>
      <c r="G137" s="10"/>
      <c r="H137" s="10"/>
      <c r="I137" s="10"/>
      <c r="J137" s="137"/>
      <c r="K137" s="137">
        <f t="shared" si="14"/>
        <v>0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102</v>
      </c>
      <c r="E138" s="10"/>
      <c r="F138" s="10"/>
      <c r="G138" s="10"/>
      <c r="H138" s="10"/>
      <c r="I138" s="10"/>
      <c r="J138" s="137"/>
      <c r="K138" s="137">
        <f t="shared" si="14"/>
        <v>0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103</v>
      </c>
      <c r="E139" s="10"/>
      <c r="F139" s="10"/>
      <c r="G139" s="10"/>
      <c r="H139" s="10"/>
      <c r="I139" s="10"/>
      <c r="J139" s="137"/>
      <c r="K139" s="137">
        <f t="shared" si="14"/>
        <v>0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104</v>
      </c>
      <c r="E140" s="10"/>
      <c r="F140" s="10"/>
      <c r="G140" s="10"/>
      <c r="H140" s="10"/>
      <c r="I140" s="10"/>
      <c r="J140" s="137"/>
      <c r="K140" s="137">
        <f t="shared" si="14"/>
        <v>0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105</v>
      </c>
      <c r="E141" s="10"/>
      <c r="F141" s="10"/>
      <c r="G141" s="10"/>
      <c r="H141" s="10"/>
      <c r="I141" s="10"/>
      <c r="J141" s="137"/>
      <c r="K141" s="137">
        <f t="shared" si="14"/>
        <v>0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106</v>
      </c>
      <c r="E142" s="10"/>
      <c r="F142" s="10"/>
      <c r="G142" s="10"/>
      <c r="H142" s="10"/>
      <c r="I142" s="10"/>
      <c r="J142" s="137"/>
      <c r="K142" s="137">
        <f t="shared" si="14"/>
        <v>0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107</v>
      </c>
      <c r="E143" s="10"/>
      <c r="F143" s="10"/>
      <c r="G143" s="10"/>
      <c r="H143" s="10"/>
      <c r="I143" s="10"/>
      <c r="J143" s="137"/>
      <c r="K143" s="137">
        <f t="shared" si="14"/>
        <v>0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108</v>
      </c>
      <c r="E144" s="10"/>
      <c r="F144" s="10"/>
      <c r="G144" s="10"/>
      <c r="H144" s="10"/>
      <c r="I144" s="10"/>
      <c r="J144" s="137"/>
      <c r="K144" s="137">
        <f t="shared" si="14"/>
        <v>0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109</v>
      </c>
      <c r="E145" s="10"/>
      <c r="F145" s="10"/>
      <c r="G145" s="10"/>
      <c r="H145" s="10"/>
      <c r="I145" s="10"/>
      <c r="J145" s="137"/>
      <c r="K145" s="137">
        <f t="shared" si="14"/>
        <v>0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110</v>
      </c>
      <c r="E146" s="29"/>
      <c r="F146" s="29"/>
      <c r="G146" s="29"/>
      <c r="H146" s="29"/>
      <c r="I146" s="29"/>
      <c r="J146" s="137"/>
      <c r="K146" s="137">
        <f t="shared" si="14"/>
        <v>0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111</v>
      </c>
      <c r="D148" s="10"/>
      <c r="E148" s="10"/>
      <c r="F148" s="10"/>
      <c r="G148" s="10"/>
      <c r="H148" s="10"/>
      <c r="I148" s="10"/>
      <c r="J148" s="35" t="str">
        <f>J125</f>
        <v>Significant</v>
      </c>
      <c r="K148" s="35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112</v>
      </c>
      <c r="E149" s="10"/>
      <c r="F149" s="10"/>
      <c r="G149" s="10"/>
      <c r="H149" s="10"/>
      <c r="I149" s="10"/>
      <c r="J149" s="137">
        <f>IFERROR((J130*$K135)*(J128+(J132/J128)),0)</f>
        <v>0</v>
      </c>
      <c r="K149" s="137">
        <f>IFERROR((K130*$K135)*(K128+(K132/K128)),0)</f>
        <v>0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113</v>
      </c>
      <c r="E150" s="10"/>
      <c r="F150" s="10"/>
      <c r="G150" s="10"/>
      <c r="H150" s="10"/>
      <c r="I150" s="10"/>
      <c r="J150" s="137">
        <f>(J128*$J$120*$J$123)*(J129*$L$75*$J$119*$K136)</f>
        <v>0</v>
      </c>
      <c r="K150" s="137">
        <f>(K128*$J$120*$J$123)*(K129*$L$75*$J$119*$K136)</f>
        <v>0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114</v>
      </c>
      <c r="E151" s="10"/>
      <c r="F151" s="10"/>
      <c r="G151" s="10"/>
      <c r="H151" s="10"/>
      <c r="I151" s="10"/>
      <c r="J151" s="137">
        <f t="shared" ref="J151:K151" si="15">($K137*$J$122*$J$121*J131)
+($K137*J131*$J$123*J128*$J$120)</f>
        <v>0</v>
      </c>
      <c r="K151" s="137">
        <f t="shared" si="15"/>
        <v>0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115</v>
      </c>
      <c r="E152" s="10"/>
      <c r="F152" s="10"/>
      <c r="G152" s="10"/>
      <c r="H152" s="10"/>
      <c r="I152" s="10"/>
      <c r="J152" s="137">
        <f>$K138*J128*$J$120*J131</f>
        <v>0</v>
      </c>
      <c r="K152" s="137">
        <f>$K138*K128*$J$120*K131</f>
        <v>0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116</v>
      </c>
      <c r="E153" s="10"/>
      <c r="F153" s="10"/>
      <c r="G153" s="10"/>
      <c r="H153" s="10"/>
      <c r="I153" s="10"/>
      <c r="J153" s="137">
        <f>IFERROR((J131*$J$117*$K139)*(J128+(J132/J128)),0)</f>
        <v>0</v>
      </c>
      <c r="K153" s="137">
        <f>IFERROR((K131*$J$117*$K139)*(K128+(K132/K128)),0)</f>
        <v>0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117</v>
      </c>
      <c r="E154" s="10"/>
      <c r="F154" s="10"/>
      <c r="G154" s="10"/>
      <c r="H154" s="10"/>
      <c r="I154" s="10"/>
      <c r="J154" s="137">
        <f>$K140*J131</f>
        <v>0</v>
      </c>
      <c r="K154" s="137">
        <f>$K140*K131</f>
        <v>0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118</v>
      </c>
      <c r="E155" s="10"/>
      <c r="F155" s="10"/>
      <c r="G155" s="10"/>
      <c r="H155" s="10"/>
      <c r="I155" s="10"/>
      <c r="J155" s="137">
        <f>$K141*J128*J131</f>
        <v>0</v>
      </c>
      <c r="K155" s="137">
        <f>$K141*K128*K131</f>
        <v>0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119</v>
      </c>
      <c r="E156" s="10"/>
      <c r="F156" s="10"/>
      <c r="G156" s="10"/>
      <c r="H156" s="10"/>
      <c r="I156" s="10"/>
      <c r="J156" s="137">
        <f>$K142*J131</f>
        <v>0</v>
      </c>
      <c r="K156" s="137">
        <f>$K142*K131</f>
        <v>0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120</v>
      </c>
      <c r="E157" s="10"/>
      <c r="F157" s="10"/>
      <c r="G157" s="10"/>
      <c r="H157" s="10"/>
      <c r="I157" s="10"/>
      <c r="J157" s="137">
        <f>$K143*J131</f>
        <v>0</v>
      </c>
      <c r="K157" s="137">
        <f>$K143*K131</f>
        <v>0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121</v>
      </c>
      <c r="E158" s="10"/>
      <c r="F158" s="10"/>
      <c r="G158" s="10"/>
      <c r="H158" s="10"/>
      <c r="I158" s="10"/>
      <c r="J158" s="137">
        <f>$K144*J131</f>
        <v>0</v>
      </c>
      <c r="K158" s="137">
        <f>$K144*K131</f>
        <v>0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122</v>
      </c>
      <c r="E159" s="10"/>
      <c r="F159" s="10"/>
      <c r="G159" s="10"/>
      <c r="H159" s="10"/>
      <c r="I159" s="10"/>
      <c r="J159" s="137">
        <f>$K145*J131</f>
        <v>0</v>
      </c>
      <c r="K159" s="137">
        <f>$K145*K131</f>
        <v>0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123</v>
      </c>
      <c r="E160" s="29"/>
      <c r="F160" s="29"/>
      <c r="G160" s="29"/>
      <c r="H160" s="29"/>
      <c r="I160" s="29"/>
      <c r="J160" s="137">
        <f>$K146*J131</f>
        <v>0</v>
      </c>
      <c r="K160" s="137">
        <f>$K146*K131</f>
        <v>0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49</v>
      </c>
      <c r="E161" s="10"/>
      <c r="F161" s="10"/>
      <c r="G161" s="10"/>
      <c r="H161" s="10"/>
      <c r="I161" s="10"/>
      <c r="J161" s="137">
        <f>IF(OR(J126&gt;0,J128=0),0,SUM(J149:J160))</f>
        <v>0</v>
      </c>
      <c r="K161" s="13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124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125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126</v>
      </c>
      <c r="D167" s="10"/>
      <c r="E167" s="10"/>
      <c r="F167" s="10"/>
      <c r="G167" s="10"/>
      <c r="H167" s="10"/>
      <c r="I167" s="10"/>
      <c r="J167" s="31" t="s">
        <v>127</v>
      </c>
      <c r="K167" s="31" t="s">
        <v>128</v>
      </c>
      <c r="L167" s="31" t="s">
        <v>129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130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131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132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133</v>
      </c>
      <c r="D172" s="10"/>
      <c r="E172" s="10"/>
      <c r="F172" s="10"/>
      <c r="G172" s="10"/>
      <c r="H172" s="10"/>
      <c r="I172" s="10"/>
      <c r="J172" s="35" t="str">
        <f>J148</f>
        <v>Significant</v>
      </c>
      <c r="K172" s="35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118">
        <v>5.0000000000000001E-3</v>
      </c>
      <c r="K173" s="118">
        <v>5.0000000000000001E-3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118">
        <v>1.9E-3</v>
      </c>
      <c r="K174" s="118">
        <v>1.9E-3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1.83E-2</v>
      </c>
      <c r="K175" s="24">
        <v>1.83E-2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134</v>
      </c>
      <c r="E177" s="10"/>
      <c r="F177" s="10"/>
      <c r="G177" s="10"/>
      <c r="H177" s="10"/>
      <c r="I177" s="10"/>
      <c r="J177" s="19">
        <f>SUMPRODUCT($L$168:$L$170,J$173:J$175)</f>
        <v>264699.79452707281</v>
      </c>
      <c r="K177" s="19">
        <f t="shared" ref="K177" si="20">SUMPRODUCT($L$168:$L$170,K$173:K$175)</f>
        <v>264699.79452707281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135</v>
      </c>
      <c r="E178" s="29"/>
      <c r="F178" s="29"/>
      <c r="G178" s="29"/>
      <c r="H178" s="29"/>
      <c r="I178" s="29"/>
      <c r="J178" s="36">
        <f>J177/SUM($L$168:$L$170)</f>
        <v>1.6713928494152944E-2</v>
      </c>
      <c r="K178" s="36">
        <f t="shared" ref="K178" si="21">K177/SUM($L$168:$L$170)</f>
        <v>1.6713928494152944E-2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136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137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138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7">
        <v>0.1</v>
      </c>
      <c r="K185" s="10"/>
      <c r="L185" s="10"/>
      <c r="M185" s="10"/>
      <c r="N185" s="10"/>
      <c r="O185" s="137"/>
      <c r="P185" s="137"/>
      <c r="Q185" s="137"/>
      <c r="R185" s="137"/>
      <c r="S185" s="137"/>
      <c r="T185" s="137"/>
      <c r="U185" s="137"/>
      <c r="V185" s="137"/>
      <c r="W185" s="137"/>
      <c r="X185" s="137"/>
      <c r="Y185" s="137"/>
      <c r="Z185" s="137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7">
        <v>0.5</v>
      </c>
      <c r="K186" s="29"/>
      <c r="L186" s="29"/>
      <c r="M186" s="29"/>
      <c r="N186" s="29"/>
      <c r="O186" s="137"/>
      <c r="P186" s="137"/>
      <c r="Q186" s="137"/>
      <c r="R186" s="137"/>
      <c r="S186" s="137"/>
      <c r="T186" s="137"/>
      <c r="U186" s="137"/>
      <c r="V186" s="137"/>
      <c r="W186" s="137"/>
      <c r="X186" s="137"/>
      <c r="Y186" s="137"/>
      <c r="Z186" s="137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139</v>
      </c>
      <c r="E187" s="10"/>
      <c r="F187" s="10"/>
      <c r="G187" s="10"/>
      <c r="H187" s="10"/>
      <c r="I187" s="10"/>
      <c r="J187" s="140">
        <v>0.7</v>
      </c>
      <c r="K187" s="10"/>
      <c r="L187" s="10"/>
      <c r="M187" s="10"/>
      <c r="N187" s="10"/>
      <c r="O187" s="137">
        <f>O185*(1-$J$187)
+O186*$J$187</f>
        <v>0</v>
      </c>
      <c r="P187" s="137">
        <f t="shared" ref="P187:Z187" si="22">P185*(1-$J$187)
+P186*$J$187</f>
        <v>0</v>
      </c>
      <c r="Q187" s="137">
        <f t="shared" si="22"/>
        <v>0</v>
      </c>
      <c r="R187" s="137">
        <f t="shared" si="22"/>
        <v>0</v>
      </c>
      <c r="S187" s="137">
        <f t="shared" si="22"/>
        <v>0</v>
      </c>
      <c r="T187" s="137">
        <f t="shared" si="22"/>
        <v>0</v>
      </c>
      <c r="U187" s="137">
        <f t="shared" si="22"/>
        <v>0</v>
      </c>
      <c r="V187" s="137">
        <f t="shared" si="22"/>
        <v>0</v>
      </c>
      <c r="W187" s="137">
        <f t="shared" si="22"/>
        <v>0</v>
      </c>
      <c r="X187" s="137">
        <f t="shared" si="22"/>
        <v>0</v>
      </c>
      <c r="Y187" s="137">
        <f t="shared" si="22"/>
        <v>0</v>
      </c>
      <c r="Z187" s="137">
        <f t="shared" si="22"/>
        <v>0</v>
      </c>
      <c r="AA187" s="139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140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146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141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37">
        <f>MAX(0,O$187-$J$85-$J80)</f>
        <v>0</v>
      </c>
      <c r="P192" s="137">
        <f t="shared" ref="P192:Z192" si="23">MAX(0,P$187-$J$85-$J80)</f>
        <v>0</v>
      </c>
      <c r="Q192" s="137">
        <f t="shared" si="23"/>
        <v>0</v>
      </c>
      <c r="R192" s="137">
        <f t="shared" si="23"/>
        <v>0</v>
      </c>
      <c r="S192" s="137">
        <f t="shared" si="23"/>
        <v>0</v>
      </c>
      <c r="T192" s="137">
        <f t="shared" si="23"/>
        <v>0</v>
      </c>
      <c r="U192" s="137">
        <f t="shared" si="23"/>
        <v>0</v>
      </c>
      <c r="V192" s="137">
        <f t="shared" si="23"/>
        <v>0</v>
      </c>
      <c r="W192" s="137">
        <f t="shared" si="23"/>
        <v>0</v>
      </c>
      <c r="X192" s="137">
        <f t="shared" si="23"/>
        <v>0</v>
      </c>
      <c r="Y192" s="137">
        <f t="shared" si="23"/>
        <v>0</v>
      </c>
      <c r="Z192" s="137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142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37">
        <f t="shared" ref="O193:Z193" si="24">MAX(0,O$187-$J$85-$J81)</f>
        <v>0</v>
      </c>
      <c r="P193" s="137">
        <f t="shared" si="24"/>
        <v>0</v>
      </c>
      <c r="Q193" s="137">
        <f t="shared" si="24"/>
        <v>0</v>
      </c>
      <c r="R193" s="137">
        <f t="shared" si="24"/>
        <v>0</v>
      </c>
      <c r="S193" s="137">
        <f t="shared" si="24"/>
        <v>0</v>
      </c>
      <c r="T193" s="137">
        <f t="shared" si="24"/>
        <v>0</v>
      </c>
      <c r="U193" s="137">
        <f t="shared" si="24"/>
        <v>0</v>
      </c>
      <c r="V193" s="137">
        <f t="shared" si="24"/>
        <v>0</v>
      </c>
      <c r="W193" s="137">
        <f t="shared" si="24"/>
        <v>0</v>
      </c>
      <c r="X193" s="137">
        <f t="shared" si="24"/>
        <v>0</v>
      </c>
      <c r="Y193" s="137">
        <f t="shared" si="24"/>
        <v>0</v>
      </c>
      <c r="Z193" s="137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37">
        <f t="shared" ref="O194:Z194" si="25">MAX(0,O$187-$J$85-$J82)</f>
        <v>0</v>
      </c>
      <c r="P194" s="137">
        <f t="shared" si="25"/>
        <v>0</v>
      </c>
      <c r="Q194" s="137">
        <f t="shared" si="25"/>
        <v>0</v>
      </c>
      <c r="R194" s="137">
        <f t="shared" si="25"/>
        <v>0</v>
      </c>
      <c r="S194" s="137">
        <f t="shared" si="25"/>
        <v>0</v>
      </c>
      <c r="T194" s="137">
        <f t="shared" si="25"/>
        <v>0</v>
      </c>
      <c r="U194" s="137">
        <f t="shared" si="25"/>
        <v>0</v>
      </c>
      <c r="V194" s="137">
        <f t="shared" si="25"/>
        <v>0</v>
      </c>
      <c r="W194" s="137">
        <f t="shared" si="25"/>
        <v>0</v>
      </c>
      <c r="X194" s="137">
        <f t="shared" si="25"/>
        <v>0</v>
      </c>
      <c r="Y194" s="137">
        <f t="shared" si="25"/>
        <v>0</v>
      </c>
      <c r="Z194" s="137">
        <f t="shared" si="25"/>
        <v>0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144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37">
        <f t="shared" ref="O195:Z195" si="26">MAX(0,O$187-$J$85-$J83)</f>
        <v>0</v>
      </c>
      <c r="P195" s="137">
        <f t="shared" si="26"/>
        <v>0</v>
      </c>
      <c r="Q195" s="137">
        <f t="shared" si="26"/>
        <v>0</v>
      </c>
      <c r="R195" s="137">
        <f t="shared" si="26"/>
        <v>0</v>
      </c>
      <c r="S195" s="137">
        <f t="shared" si="26"/>
        <v>0</v>
      </c>
      <c r="T195" s="137">
        <f t="shared" si="26"/>
        <v>0</v>
      </c>
      <c r="U195" s="137">
        <f t="shared" si="26"/>
        <v>0</v>
      </c>
      <c r="V195" s="137">
        <f t="shared" si="26"/>
        <v>0</v>
      </c>
      <c r="W195" s="137">
        <f t="shared" si="26"/>
        <v>0</v>
      </c>
      <c r="X195" s="137">
        <f t="shared" si="26"/>
        <v>0</v>
      </c>
      <c r="Y195" s="137">
        <f t="shared" si="26"/>
        <v>0</v>
      </c>
      <c r="Z195" s="137">
        <f t="shared" si="26"/>
        <v>0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145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37">
        <f t="shared" ref="O196:Z196" si="27">MAX(0,O$187-$J$85-$J84)</f>
        <v>0</v>
      </c>
      <c r="P196" s="137">
        <f t="shared" si="27"/>
        <v>0</v>
      </c>
      <c r="Q196" s="137">
        <f t="shared" si="27"/>
        <v>0</v>
      </c>
      <c r="R196" s="137">
        <f t="shared" si="27"/>
        <v>0</v>
      </c>
      <c r="S196" s="137">
        <f t="shared" si="27"/>
        <v>0</v>
      </c>
      <c r="T196" s="137">
        <f t="shared" si="27"/>
        <v>0</v>
      </c>
      <c r="U196" s="137">
        <f t="shared" si="27"/>
        <v>0</v>
      </c>
      <c r="V196" s="137">
        <f t="shared" si="27"/>
        <v>0</v>
      </c>
      <c r="W196" s="137">
        <f t="shared" si="27"/>
        <v>0</v>
      </c>
      <c r="X196" s="137">
        <f t="shared" si="27"/>
        <v>0</v>
      </c>
      <c r="Y196" s="137">
        <f t="shared" si="27"/>
        <v>0</v>
      </c>
      <c r="Z196" s="137">
        <f t="shared" si="27"/>
        <v>0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147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disablePrompts="1"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topLeftCell="A94" zoomScale="90" zoomScaleNormal="90" workbookViewId="0">
      <selection activeCell="U40" sqref="U40"/>
    </sheetView>
  </sheetViews>
  <sheetFormatPr defaultColWidth="0" defaultRowHeight="12.75" zeroHeight="1" x14ac:dyDescent="0.2"/>
  <cols>
    <col min="1" max="8" width="3.125" style="41" customWidth="1"/>
    <col min="9" max="9" width="16.25" style="41" customWidth="1"/>
    <col min="10" max="26" width="12.5" style="41" customWidth="1"/>
    <col min="27" max="27" width="3" style="41" customWidth="1"/>
    <col min="28" max="57" width="0.625" style="41" customWidth="1"/>
    <col min="58" max="16384" width="9" style="41" hidden="1"/>
  </cols>
  <sheetData>
    <row r="1" spans="1:57" ht="13.15" x14ac:dyDescent="0.4">
      <c r="A1" s="38" t="str">
        <f>Inputs!A1</f>
        <v>CitiPower - CBD Cable Pits</v>
      </c>
      <c r="B1" s="38"/>
      <c r="C1" s="39"/>
      <c r="D1" s="40"/>
      <c r="E1" s="40"/>
      <c r="F1" s="40"/>
      <c r="G1" s="40"/>
      <c r="H1" s="40"/>
      <c r="I1" s="40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13.15" x14ac:dyDescent="0.4">
      <c r="A2" s="42" t="str">
        <f ca="1">RIGHT(CELL("filename", $A$1), LEN(CELL("filename", $A$1)) - SEARCH("]", CELL("filename", $A$1)))</f>
        <v>Base Case</v>
      </c>
      <c r="B2" s="42"/>
      <c r="C2" s="43"/>
      <c r="D2" s="44"/>
      <c r="E2" s="44"/>
      <c r="F2" s="44"/>
      <c r="G2" s="44"/>
      <c r="H2" s="44"/>
      <c r="I2" s="44"/>
      <c r="J2" s="42"/>
      <c r="K2" s="42"/>
      <c r="L2" s="42"/>
      <c r="M2" s="42"/>
      <c r="N2" s="42"/>
      <c r="O2" s="45">
        <f>Inputs!O2</f>
        <v>2019</v>
      </c>
      <c r="P2" s="45">
        <f>Inputs!P2</f>
        <v>2020</v>
      </c>
      <c r="Q2" s="45">
        <f>Inputs!Q2</f>
        <v>2021</v>
      </c>
      <c r="R2" s="45">
        <f>Inputs!R2</f>
        <v>2022</v>
      </c>
      <c r="S2" s="45">
        <f>Inputs!S2</f>
        <v>2023</v>
      </c>
      <c r="T2" s="45">
        <f>Inputs!T2</f>
        <v>2024</v>
      </c>
      <c r="U2" s="45">
        <f>Inputs!U2</f>
        <v>2025</v>
      </c>
      <c r="V2" s="45">
        <f>Inputs!V2</f>
        <v>2026</v>
      </c>
      <c r="W2" s="45">
        <f>Inputs!W2</f>
        <v>2027</v>
      </c>
      <c r="X2" s="45">
        <f>Inputs!X2</f>
        <v>2028</v>
      </c>
      <c r="Y2" s="45">
        <f>Inputs!Y2</f>
        <v>2029</v>
      </c>
      <c r="Z2" s="45">
        <f>Inputs!Z2</f>
        <v>2030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</row>
    <row r="3" spans="1:57" ht="13.15" x14ac:dyDescent="0.4">
      <c r="A3" s="46"/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ht="13.15" x14ac:dyDescent="0.4">
      <c r="A4" s="49" t="str">
        <f>C8&amp;" "&amp;I8&amp;": "&amp;B6</f>
        <v>Scenario Base case: Consequence calculation</v>
      </c>
      <c r="B4" s="49"/>
      <c r="C4" s="50"/>
      <c r="D4" s="51"/>
      <c r="E4" s="51"/>
      <c r="F4" s="51"/>
      <c r="G4" s="51"/>
      <c r="H4" s="51"/>
      <c r="I4" s="5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ht="13.15" x14ac:dyDescent="0.4">
      <c r="A5" s="46"/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</row>
    <row r="6" spans="1:57" ht="13.15" x14ac:dyDescent="0.4">
      <c r="A6" s="46"/>
      <c r="B6" s="46" t="s">
        <v>148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</row>
    <row r="7" spans="1:57" ht="13.15" x14ac:dyDescent="0.4">
      <c r="A7" s="46"/>
      <c r="B7" s="46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ht="13.15" x14ac:dyDescent="0.4">
      <c r="A8" s="46"/>
      <c r="B8" s="46"/>
      <c r="C8" s="47" t="s">
        <v>149</v>
      </c>
      <c r="D8" s="48"/>
      <c r="E8" s="48"/>
      <c r="F8" s="48"/>
      <c r="G8" s="48"/>
      <c r="H8" s="48"/>
      <c r="I8" s="52" t="s">
        <v>28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</row>
    <row r="9" spans="1:57" ht="13.15" x14ac:dyDescent="0.4">
      <c r="A9" s="46"/>
      <c r="B9" s="46"/>
      <c r="C9" s="47"/>
      <c r="D9" s="48" t="str">
        <f>Inputs!J52</f>
        <v>PoF</v>
      </c>
      <c r="E9" s="48"/>
      <c r="F9" s="48"/>
      <c r="G9" s="48"/>
      <c r="H9" s="48"/>
      <c r="I9" s="53">
        <f>INDEX(Inputs!$D$52:$O$57,MATCH('Base Case'!$I$8,Inputs!$D$52:$D$57,0),MATCH('Base Case'!$D9,Inputs!$D$52:$O$52,0))</f>
        <v>1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13.15" x14ac:dyDescent="0.4">
      <c r="A10" s="46"/>
      <c r="B10" s="46"/>
      <c r="C10" s="47"/>
      <c r="D10" s="48" t="str">
        <f>Inputs!K52</f>
        <v>Capex</v>
      </c>
      <c r="E10" s="48"/>
      <c r="F10" s="48"/>
      <c r="G10" s="48"/>
      <c r="H10" s="48"/>
      <c r="I10" s="53">
        <f>INDEX(Inputs!$D$52:$O$57,MATCH('Base Case'!$I$8,Inputs!$D$52:$D$57,0),MATCH('Base Case'!$D10,Inputs!$D$52:$O$52,0))</f>
        <v>1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</row>
    <row r="11" spans="1:57" ht="13.15" x14ac:dyDescent="0.4">
      <c r="A11" s="46"/>
      <c r="B11" s="46"/>
      <c r="C11" s="47"/>
      <c r="D11" s="48" t="str">
        <f>Inputs!L52</f>
        <v>Opex</v>
      </c>
      <c r="E11" s="48"/>
      <c r="F11" s="48"/>
      <c r="G11" s="48"/>
      <c r="H11" s="48"/>
      <c r="I11" s="53">
        <f>INDEX(Inputs!$D$52:$O$57,MATCH('Base Case'!$I$8,Inputs!$D$52:$D$57,0),MATCH('Base Case'!$D11,Inputs!$D$52:$O$52,0))</f>
        <v>1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</row>
    <row r="12" spans="1:57" ht="13.15" x14ac:dyDescent="0.4">
      <c r="A12" s="46"/>
      <c r="B12" s="46"/>
      <c r="C12" s="47"/>
      <c r="D12" s="48" t="str">
        <f>Inputs!M52</f>
        <v>Demand</v>
      </c>
      <c r="E12" s="48"/>
      <c r="F12" s="48"/>
      <c r="G12" s="48"/>
      <c r="H12" s="48"/>
      <c r="I12" s="53">
        <f>INDEX(Inputs!$D$52:$O$57,MATCH('Base Case'!$I$8,Inputs!$D$52:$D$57,0),MATCH('Base Case'!$D12,Inputs!$D$52:$O$52,0))</f>
        <v>1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</row>
    <row r="13" spans="1:57" ht="13.15" x14ac:dyDescent="0.4">
      <c r="A13" s="46"/>
      <c r="B13" s="46"/>
      <c r="C13" s="47"/>
      <c r="D13" s="48" t="str">
        <f>Inputs!N52</f>
        <v>VCR</v>
      </c>
      <c r="E13" s="48"/>
      <c r="F13" s="48"/>
      <c r="G13" s="48"/>
      <c r="H13" s="48"/>
      <c r="I13" s="53">
        <f>INDEX(Inputs!$D$52:$O$57,MATCH('Base Case'!$I$8,Inputs!$D$52:$D$57,0),MATCH('Base Case'!$D13,Inputs!$D$52:$O$52,0))</f>
        <v>1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</row>
    <row r="14" spans="1:57" ht="13.15" x14ac:dyDescent="0.4">
      <c r="A14" s="46"/>
      <c r="B14" s="46"/>
      <c r="C14" s="47"/>
      <c r="D14" s="48" t="str">
        <f>Inputs!O52</f>
        <v>Environment</v>
      </c>
      <c r="E14" s="48"/>
      <c r="F14" s="48"/>
      <c r="G14" s="48"/>
      <c r="H14" s="48"/>
      <c r="I14" s="53">
        <f>INDEX(Inputs!$D$52:$O$57,MATCH('Base Case'!$I$8,Inputs!$D$52:$D$57,0),MATCH('Base Case'!$D14,Inputs!$D$52:$O$52,0))</f>
        <v>1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</row>
    <row r="15" spans="1:57" ht="13.15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</row>
    <row r="16" spans="1:57" ht="38.25" x14ac:dyDescent="0.2">
      <c r="A16" s="46"/>
      <c r="B16" s="46"/>
      <c r="C16" s="47"/>
      <c r="D16" s="48"/>
      <c r="E16" s="48"/>
      <c r="F16" s="48"/>
      <c r="G16" s="48"/>
      <c r="H16" s="48"/>
      <c r="I16" s="54" t="s">
        <v>69</v>
      </c>
      <c r="J16" s="55" t="s">
        <v>150</v>
      </c>
      <c r="K16" s="55" t="s">
        <v>151</v>
      </c>
      <c r="L16" s="55"/>
      <c r="M16" s="55"/>
      <c r="N16" s="56"/>
      <c r="O16" s="54" t="s">
        <v>152</v>
      </c>
      <c r="P16" s="55" t="s">
        <v>153</v>
      </c>
      <c r="Q16" s="55" t="s">
        <v>154</v>
      </c>
      <c r="R16" s="55" t="s">
        <v>155</v>
      </c>
      <c r="S16" s="55" t="s">
        <v>25</v>
      </c>
      <c r="T16" s="57" t="s">
        <v>156</v>
      </c>
      <c r="U16" s="54" t="s">
        <v>157</v>
      </c>
      <c r="V16" s="58" t="s">
        <v>158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</row>
    <row r="17" spans="1:57" x14ac:dyDescent="0.2">
      <c r="A17" s="46"/>
      <c r="B17" s="46"/>
      <c r="C17" s="47"/>
      <c r="D17" s="48"/>
      <c r="E17" s="48"/>
      <c r="F17" s="48"/>
      <c r="G17" s="48"/>
      <c r="H17" s="48"/>
      <c r="I17" s="123">
        <f>INDEX(Inputs!$J$64:$J$66,MATCH('Base Case'!J17,Inputs!$D$64:$D$66,0))</f>
        <v>3</v>
      </c>
      <c r="J17" s="124" t="s">
        <v>40</v>
      </c>
      <c r="K17" s="125" t="s">
        <v>159</v>
      </c>
      <c r="L17" s="126"/>
      <c r="M17" s="126"/>
      <c r="N17" s="127"/>
      <c r="O17" s="128">
        <v>500000</v>
      </c>
      <c r="P17" s="128"/>
      <c r="Q17" s="128"/>
      <c r="R17" s="128"/>
      <c r="S17" s="128"/>
      <c r="T17" s="129">
        <v>1</v>
      </c>
      <c r="U17" s="130">
        <f>SUM(O17:S17)*T17</f>
        <v>500000</v>
      </c>
      <c r="V17" s="131">
        <f>SUM(P17:S17)*T17</f>
        <v>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</row>
    <row r="18" spans="1:57" x14ac:dyDescent="0.2">
      <c r="A18" s="46"/>
      <c r="B18" s="46"/>
      <c r="C18" s="47"/>
      <c r="D18" s="48"/>
      <c r="E18" s="48"/>
      <c r="F18" s="48"/>
      <c r="G18" s="48"/>
      <c r="H18" s="48"/>
      <c r="I18" s="64">
        <f>INDEX(Inputs!$J$64:$J$66,MATCH('Base Case'!J18,Inputs!$D$64:$D$66,0))</f>
        <v>3</v>
      </c>
      <c r="J18" s="92" t="s">
        <v>40</v>
      </c>
      <c r="K18" s="93" t="s">
        <v>125</v>
      </c>
      <c r="L18" s="94"/>
      <c r="M18" s="94"/>
      <c r="N18" s="95"/>
      <c r="O18" s="61"/>
      <c r="P18" s="66">
        <f>Inputs!$L$170</f>
        <v>14280000.000000002</v>
      </c>
      <c r="Q18" s="61"/>
      <c r="R18" s="61"/>
      <c r="S18" s="61"/>
      <c r="T18" s="62">
        <v>0.2</v>
      </c>
      <c r="U18" s="70">
        <f t="shared" ref="U18:U46" si="0">SUM(O18:S18)*T18</f>
        <v>2856000.0000000005</v>
      </c>
      <c r="V18" s="71">
        <f t="shared" ref="V18:V46" si="1">SUM(P18:S18)*T18</f>
        <v>2856000.0000000005</v>
      </c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</row>
    <row r="19" spans="1:57" x14ac:dyDescent="0.2">
      <c r="A19" s="46"/>
      <c r="B19" s="46"/>
      <c r="C19" s="47"/>
      <c r="D19" s="48"/>
      <c r="E19" s="48"/>
      <c r="F19" s="48"/>
      <c r="G19" s="48"/>
      <c r="H19" s="48"/>
      <c r="I19" s="64">
        <f>INDEX(Inputs!$J$64:$J$66,MATCH('Base Case'!J19,Inputs!$D$64:$D$66,0))</f>
        <v>3</v>
      </c>
      <c r="J19" s="92" t="s">
        <v>40</v>
      </c>
      <c r="K19" s="93" t="s">
        <v>196</v>
      </c>
      <c r="L19" s="94"/>
      <c r="M19" s="94"/>
      <c r="N19" s="95"/>
      <c r="O19" s="61"/>
      <c r="P19" s="61"/>
      <c r="Q19" s="61"/>
      <c r="R19" s="61">
        <v>500000</v>
      </c>
      <c r="S19" s="61"/>
      <c r="T19" s="62">
        <v>1</v>
      </c>
      <c r="U19" s="70">
        <f t="shared" si="0"/>
        <v>500000</v>
      </c>
      <c r="V19" s="71">
        <f t="shared" si="1"/>
        <v>500000</v>
      </c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</row>
    <row r="20" spans="1:57" x14ac:dyDescent="0.2">
      <c r="A20" s="46"/>
      <c r="B20" s="46"/>
      <c r="C20" s="47"/>
      <c r="D20" s="48"/>
      <c r="E20" s="48"/>
      <c r="F20" s="48"/>
      <c r="G20" s="48"/>
      <c r="H20" s="48"/>
      <c r="I20" s="64">
        <f>INDEX(Inputs!$J$64:$J$66,MATCH('Base Case'!J20,Inputs!$D$64:$D$66,0))</f>
        <v>3</v>
      </c>
      <c r="J20" s="92" t="s">
        <v>40</v>
      </c>
      <c r="K20" s="93" t="s">
        <v>197</v>
      </c>
      <c r="L20" s="94"/>
      <c r="M20" s="94"/>
      <c r="N20" s="95"/>
      <c r="O20" s="61"/>
      <c r="P20" s="61"/>
      <c r="Q20" s="61">
        <v>400000</v>
      </c>
      <c r="R20" s="61"/>
      <c r="S20" s="61"/>
      <c r="T20" s="62">
        <v>1</v>
      </c>
      <c r="U20" s="70">
        <f t="shared" si="0"/>
        <v>400000</v>
      </c>
      <c r="V20" s="71">
        <f t="shared" si="1"/>
        <v>400000</v>
      </c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</row>
    <row r="21" spans="1:57" x14ac:dyDescent="0.2">
      <c r="A21" s="46"/>
      <c r="B21" s="46"/>
      <c r="C21" s="47"/>
      <c r="D21" s="48"/>
      <c r="E21" s="48"/>
      <c r="F21" s="48"/>
      <c r="G21" s="48"/>
      <c r="H21" s="48"/>
      <c r="I21" s="64">
        <f>INDEX(Inputs!$J$64:$J$66,MATCH('Base Case'!J21,Inputs!$D$64:$D$66,0))</f>
        <v>3</v>
      </c>
      <c r="J21" s="92" t="s">
        <v>40</v>
      </c>
      <c r="K21" s="93" t="s">
        <v>198</v>
      </c>
      <c r="L21" s="94"/>
      <c r="M21" s="94"/>
      <c r="N21" s="95"/>
      <c r="O21" s="61"/>
      <c r="P21" s="61"/>
      <c r="Q21" s="61">
        <v>500000</v>
      </c>
      <c r="R21" s="61"/>
      <c r="S21" s="61"/>
      <c r="T21" s="62">
        <v>0.2</v>
      </c>
      <c r="U21" s="70">
        <f t="shared" si="0"/>
        <v>100000</v>
      </c>
      <c r="V21" s="71">
        <f t="shared" si="1"/>
        <v>100000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x14ac:dyDescent="0.2">
      <c r="A22" s="46"/>
      <c r="B22" s="46"/>
      <c r="C22" s="47"/>
      <c r="D22" s="48"/>
      <c r="E22" s="48"/>
      <c r="F22" s="48"/>
      <c r="G22" s="48"/>
      <c r="H22" s="48"/>
      <c r="I22" s="64">
        <f>INDEX(Inputs!$J$64:$J$66,MATCH('Base Case'!J22,Inputs!$D$64:$D$66,0))</f>
        <v>3</v>
      </c>
      <c r="J22" s="92" t="s">
        <v>40</v>
      </c>
      <c r="K22" s="97" t="s">
        <v>160</v>
      </c>
      <c r="L22" s="94"/>
      <c r="M22" s="94"/>
      <c r="N22" s="95"/>
      <c r="O22" s="61"/>
      <c r="P22" s="61"/>
      <c r="Q22" s="61"/>
      <c r="R22" s="61"/>
      <c r="S22" s="61"/>
      <c r="T22" s="62"/>
      <c r="U22" s="70">
        <f t="shared" si="0"/>
        <v>0</v>
      </c>
      <c r="V22" s="71">
        <f t="shared" si="1"/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</row>
    <row r="23" spans="1:57" x14ac:dyDescent="0.2">
      <c r="A23" s="46"/>
      <c r="B23" s="46"/>
      <c r="C23" s="47"/>
      <c r="D23" s="48"/>
      <c r="E23" s="48"/>
      <c r="F23" s="48"/>
      <c r="G23" s="48"/>
      <c r="H23" s="48"/>
      <c r="I23" s="64">
        <f>INDEX(Inputs!$J$64:$J$66,MATCH('Base Case'!J23,Inputs!$D$64:$D$66,0))</f>
        <v>3</v>
      </c>
      <c r="J23" s="92" t="s">
        <v>40</v>
      </c>
      <c r="K23" s="97" t="s">
        <v>160</v>
      </c>
      <c r="L23" s="94"/>
      <c r="M23" s="94"/>
      <c r="N23" s="95"/>
      <c r="O23" s="61"/>
      <c r="P23" s="61"/>
      <c r="Q23" s="61"/>
      <c r="R23" s="61"/>
      <c r="S23" s="61"/>
      <c r="T23" s="62"/>
      <c r="U23" s="70">
        <f t="shared" si="0"/>
        <v>0</v>
      </c>
      <c r="V23" s="71">
        <f t="shared" si="1"/>
        <v>0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x14ac:dyDescent="0.2">
      <c r="A24" s="46"/>
      <c r="B24" s="46"/>
      <c r="C24" s="47"/>
      <c r="D24" s="48"/>
      <c r="E24" s="48"/>
      <c r="F24" s="48"/>
      <c r="G24" s="48"/>
      <c r="H24" s="48"/>
      <c r="I24" s="64">
        <f>INDEX(Inputs!$J$64:$J$66,MATCH('Base Case'!J24,Inputs!$D$64:$D$66,0))</f>
        <v>3</v>
      </c>
      <c r="J24" s="92" t="s">
        <v>40</v>
      </c>
      <c r="K24" s="97" t="s">
        <v>160</v>
      </c>
      <c r="L24" s="94"/>
      <c r="M24" s="94"/>
      <c r="N24" s="95"/>
      <c r="O24" s="61"/>
      <c r="P24" s="61"/>
      <c r="Q24" s="61"/>
      <c r="R24" s="61"/>
      <c r="S24" s="61"/>
      <c r="T24" s="62"/>
      <c r="U24" s="70">
        <f t="shared" si="0"/>
        <v>0</v>
      </c>
      <c r="V24" s="71">
        <f t="shared" si="1"/>
        <v>0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</row>
    <row r="25" spans="1:57" x14ac:dyDescent="0.2">
      <c r="A25" s="46"/>
      <c r="B25" s="46"/>
      <c r="C25" s="47"/>
      <c r="D25" s="48"/>
      <c r="E25" s="48"/>
      <c r="F25" s="48"/>
      <c r="G25" s="48"/>
      <c r="H25" s="48"/>
      <c r="I25" s="64">
        <f>INDEX(Inputs!$J$64:$J$66,MATCH('Base Case'!J25,Inputs!$D$64:$D$66,0))</f>
        <v>3</v>
      </c>
      <c r="J25" s="92" t="s">
        <v>40</v>
      </c>
      <c r="K25" s="97" t="s">
        <v>160</v>
      </c>
      <c r="L25" s="94"/>
      <c r="M25" s="94"/>
      <c r="N25" s="95"/>
      <c r="O25" s="61"/>
      <c r="P25" s="61"/>
      <c r="Q25" s="61"/>
      <c r="R25" s="61"/>
      <c r="S25" s="61"/>
      <c r="T25" s="62"/>
      <c r="U25" s="70">
        <f t="shared" si="0"/>
        <v>0</v>
      </c>
      <c r="V25" s="71">
        <f t="shared" si="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</row>
    <row r="26" spans="1:57" x14ac:dyDescent="0.2">
      <c r="A26" s="46"/>
      <c r="B26" s="46"/>
      <c r="C26" s="47"/>
      <c r="D26" s="48"/>
      <c r="E26" s="48"/>
      <c r="F26" s="48"/>
      <c r="G26" s="48"/>
      <c r="H26" s="48"/>
      <c r="I26" s="72">
        <f>INDEX(Inputs!$J$64:$J$66,MATCH('Base Case'!J26,Inputs!$D$64:$D$66,0))</f>
        <v>3</v>
      </c>
      <c r="J26" s="132" t="s">
        <v>40</v>
      </c>
      <c r="K26" s="101" t="s">
        <v>160</v>
      </c>
      <c r="L26" s="133"/>
      <c r="M26" s="133"/>
      <c r="N26" s="134"/>
      <c r="O26" s="135"/>
      <c r="P26" s="135"/>
      <c r="Q26" s="135"/>
      <c r="R26" s="135"/>
      <c r="S26" s="135"/>
      <c r="T26" s="136"/>
      <c r="U26" s="76">
        <f t="shared" si="0"/>
        <v>0</v>
      </c>
      <c r="V26" s="77">
        <f t="shared" si="1"/>
        <v>0</v>
      </c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</row>
    <row r="27" spans="1:57" x14ac:dyDescent="0.2">
      <c r="A27" s="46"/>
      <c r="B27" s="46"/>
      <c r="C27" s="47"/>
      <c r="D27" s="48"/>
      <c r="E27" s="48"/>
      <c r="F27" s="48"/>
      <c r="G27" s="48"/>
      <c r="H27" s="48"/>
      <c r="I27" s="123">
        <f>INDEX(Inputs!$J$64:$J$66,MATCH('Base Case'!J27,Inputs!$D$64:$D$66,0))</f>
        <v>2</v>
      </c>
      <c r="J27" s="124" t="s">
        <v>39</v>
      </c>
      <c r="K27" s="125" t="str">
        <f>K17</f>
        <v>Expected average unserved energy @ VCR</v>
      </c>
      <c r="L27" s="126"/>
      <c r="M27" s="126"/>
      <c r="N27" s="127"/>
      <c r="O27" s="128">
        <v>500000</v>
      </c>
      <c r="P27" s="128"/>
      <c r="Q27" s="128"/>
      <c r="R27" s="128"/>
      <c r="S27" s="128"/>
      <c r="T27" s="129">
        <v>1</v>
      </c>
      <c r="U27" s="130">
        <f t="shared" si="0"/>
        <v>500000</v>
      </c>
      <c r="V27" s="131">
        <f t="shared" si="1"/>
        <v>0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</row>
    <row r="28" spans="1:57" x14ac:dyDescent="0.2">
      <c r="A28" s="46"/>
      <c r="B28" s="46"/>
      <c r="C28" s="47"/>
      <c r="D28" s="48"/>
      <c r="E28" s="48"/>
      <c r="F28" s="48"/>
      <c r="G28" s="48"/>
      <c r="H28" s="48"/>
      <c r="I28" s="64">
        <f>INDEX(Inputs!$J$64:$J$66,MATCH('Base Case'!J28,Inputs!$D$64:$D$66,0))</f>
        <v>2</v>
      </c>
      <c r="J28" s="96" t="s">
        <v>39</v>
      </c>
      <c r="K28" s="97" t="str">
        <f t="shared" ref="K28:K36" si="2">K18</f>
        <v>Safety consequence</v>
      </c>
      <c r="L28" s="98"/>
      <c r="M28" s="98"/>
      <c r="N28" s="99"/>
      <c r="O28" s="61"/>
      <c r="P28" s="66">
        <f>Inputs!$L$170</f>
        <v>14280000.000000002</v>
      </c>
      <c r="Q28" s="61"/>
      <c r="R28" s="61"/>
      <c r="S28" s="61"/>
      <c r="T28" s="62">
        <v>0.2</v>
      </c>
      <c r="U28" s="70">
        <f t="shared" si="0"/>
        <v>2856000.0000000005</v>
      </c>
      <c r="V28" s="71">
        <f t="shared" si="1"/>
        <v>2856000.0000000005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</row>
    <row r="29" spans="1:57" x14ac:dyDescent="0.2">
      <c r="A29" s="46"/>
      <c r="B29" s="46"/>
      <c r="C29" s="47"/>
      <c r="D29" s="48"/>
      <c r="E29" s="48"/>
      <c r="F29" s="48"/>
      <c r="G29" s="48"/>
      <c r="H29" s="48"/>
      <c r="I29" s="64">
        <f>INDEX(Inputs!$J$64:$J$66,MATCH('Base Case'!J29,Inputs!$D$64:$D$66,0))</f>
        <v>2</v>
      </c>
      <c r="J29" s="96" t="s">
        <v>39</v>
      </c>
      <c r="K29" s="97" t="str">
        <f t="shared" si="2"/>
        <v>Pit repair cost</v>
      </c>
      <c r="L29" s="98"/>
      <c r="M29" s="98"/>
      <c r="N29" s="99"/>
      <c r="O29" s="61"/>
      <c r="P29" s="61"/>
      <c r="Q29" s="61"/>
      <c r="R29" s="61">
        <v>500000</v>
      </c>
      <c r="S29" s="61"/>
      <c r="T29" s="62">
        <v>1</v>
      </c>
      <c r="U29" s="70">
        <f t="shared" si="0"/>
        <v>500000</v>
      </c>
      <c r="V29" s="71">
        <f t="shared" si="1"/>
        <v>500000</v>
      </c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x14ac:dyDescent="0.2">
      <c r="A30" s="46"/>
      <c r="B30" s="46"/>
      <c r="C30" s="47"/>
      <c r="D30" s="48"/>
      <c r="E30" s="48"/>
      <c r="F30" s="48"/>
      <c r="G30" s="48"/>
      <c r="H30" s="48"/>
      <c r="I30" s="64">
        <f>INDEX(Inputs!$J$64:$J$66,MATCH('Base Case'!J30,Inputs!$D$64:$D$66,0))</f>
        <v>2</v>
      </c>
      <c r="J30" s="96" t="s">
        <v>39</v>
      </c>
      <c r="K30" s="97" t="str">
        <f t="shared" si="2"/>
        <v>Electrical Asset repair</v>
      </c>
      <c r="L30" s="98"/>
      <c r="M30" s="98"/>
      <c r="N30" s="99"/>
      <c r="O30" s="61"/>
      <c r="P30" s="61"/>
      <c r="Q30" s="61">
        <v>400000</v>
      </c>
      <c r="R30" s="61"/>
      <c r="S30" s="61"/>
      <c r="T30" s="62">
        <v>1</v>
      </c>
      <c r="U30" s="70">
        <f t="shared" si="0"/>
        <v>400000</v>
      </c>
      <c r="V30" s="71">
        <f t="shared" si="1"/>
        <v>400000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</row>
    <row r="31" spans="1:57" x14ac:dyDescent="0.2">
      <c r="A31" s="46"/>
      <c r="B31" s="46"/>
      <c r="C31" s="47"/>
      <c r="D31" s="48"/>
      <c r="E31" s="48"/>
      <c r="F31" s="48"/>
      <c r="G31" s="48"/>
      <c r="H31" s="48"/>
      <c r="I31" s="64">
        <f>INDEX(Inputs!$J$64:$J$66,MATCH('Base Case'!J31,Inputs!$D$64:$D$66,0))</f>
        <v>2</v>
      </c>
      <c r="J31" s="96" t="s">
        <v>39</v>
      </c>
      <c r="K31" s="97" t="str">
        <f t="shared" si="2"/>
        <v>Damage to telecommunications</v>
      </c>
      <c r="L31" s="98"/>
      <c r="M31" s="98"/>
      <c r="N31" s="99"/>
      <c r="O31" s="61"/>
      <c r="P31" s="61"/>
      <c r="Q31" s="61">
        <v>500000</v>
      </c>
      <c r="R31" s="61"/>
      <c r="S31" s="61"/>
      <c r="T31" s="62">
        <v>0.2</v>
      </c>
      <c r="U31" s="70">
        <f t="shared" si="0"/>
        <v>100000</v>
      </c>
      <c r="V31" s="71">
        <f t="shared" si="1"/>
        <v>100000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</row>
    <row r="32" spans="1:57" x14ac:dyDescent="0.2">
      <c r="A32" s="46"/>
      <c r="B32" s="46"/>
      <c r="C32" s="47"/>
      <c r="D32" s="48"/>
      <c r="E32" s="48"/>
      <c r="F32" s="48"/>
      <c r="G32" s="48"/>
      <c r="H32" s="48"/>
      <c r="I32" s="64">
        <f>INDEX(Inputs!$J$64:$J$66,MATCH('Base Case'!J32,Inputs!$D$64:$D$66,0))</f>
        <v>2</v>
      </c>
      <c r="J32" s="96" t="s">
        <v>39</v>
      </c>
      <c r="K32" s="97" t="str">
        <f t="shared" si="2"/>
        <v>[Spare]</v>
      </c>
      <c r="L32" s="98"/>
      <c r="M32" s="98"/>
      <c r="N32" s="99"/>
      <c r="O32" s="61"/>
      <c r="P32" s="61"/>
      <c r="Q32" s="61"/>
      <c r="R32" s="61"/>
      <c r="S32" s="61"/>
      <c r="T32" s="62"/>
      <c r="U32" s="70">
        <f t="shared" si="0"/>
        <v>0</v>
      </c>
      <c r="V32" s="71">
        <f t="shared" si="1"/>
        <v>0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</row>
    <row r="33" spans="1:57" x14ac:dyDescent="0.2">
      <c r="A33" s="46"/>
      <c r="B33" s="46"/>
      <c r="C33" s="47"/>
      <c r="D33" s="48"/>
      <c r="E33" s="48"/>
      <c r="F33" s="48"/>
      <c r="G33" s="48"/>
      <c r="H33" s="48"/>
      <c r="I33" s="64">
        <f>INDEX(Inputs!$J$64:$J$66,MATCH('Base Case'!J33,Inputs!$D$64:$D$66,0))</f>
        <v>2</v>
      </c>
      <c r="J33" s="96" t="s">
        <v>39</v>
      </c>
      <c r="K33" s="97" t="str">
        <f t="shared" si="2"/>
        <v>[Spare]</v>
      </c>
      <c r="L33" s="98"/>
      <c r="M33" s="98"/>
      <c r="N33" s="99"/>
      <c r="O33" s="61"/>
      <c r="P33" s="61"/>
      <c r="Q33" s="61"/>
      <c r="R33" s="61"/>
      <c r="S33" s="61"/>
      <c r="T33" s="62"/>
      <c r="U33" s="70">
        <f t="shared" si="0"/>
        <v>0</v>
      </c>
      <c r="V33" s="71">
        <f t="shared" si="1"/>
        <v>0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</row>
    <row r="34" spans="1:57" x14ac:dyDescent="0.2">
      <c r="A34" s="46"/>
      <c r="B34" s="46"/>
      <c r="C34" s="47"/>
      <c r="D34" s="48"/>
      <c r="E34" s="48"/>
      <c r="F34" s="48"/>
      <c r="G34" s="48"/>
      <c r="H34" s="48"/>
      <c r="I34" s="64">
        <f>INDEX(Inputs!$J$64:$J$66,MATCH('Base Case'!J34,Inputs!$D$64:$D$66,0))</f>
        <v>2</v>
      </c>
      <c r="J34" s="96" t="s">
        <v>39</v>
      </c>
      <c r="K34" s="97" t="str">
        <f t="shared" si="2"/>
        <v>[Spare]</v>
      </c>
      <c r="L34" s="98"/>
      <c r="M34" s="98"/>
      <c r="N34" s="99"/>
      <c r="O34" s="61"/>
      <c r="P34" s="61"/>
      <c r="Q34" s="61"/>
      <c r="R34" s="61"/>
      <c r="S34" s="61"/>
      <c r="T34" s="62"/>
      <c r="U34" s="70">
        <f t="shared" si="0"/>
        <v>0</v>
      </c>
      <c r="V34" s="71">
        <f t="shared" si="1"/>
        <v>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</row>
    <row r="35" spans="1:57" ht="13.15" x14ac:dyDescent="0.4">
      <c r="A35" s="46"/>
      <c r="B35" s="46"/>
      <c r="C35" s="47"/>
      <c r="D35" s="48"/>
      <c r="E35" s="48"/>
      <c r="F35" s="48"/>
      <c r="G35" s="48"/>
      <c r="H35" s="48"/>
      <c r="I35" s="64">
        <f>INDEX(Inputs!$J$64:$J$66,MATCH('Base Case'!J35,Inputs!$D$64:$D$66,0))</f>
        <v>2</v>
      </c>
      <c r="J35" s="96" t="s">
        <v>39</v>
      </c>
      <c r="K35" s="97" t="str">
        <f t="shared" si="2"/>
        <v>[Spare]</v>
      </c>
      <c r="L35" s="98"/>
      <c r="M35" s="98"/>
      <c r="N35" s="99"/>
      <c r="O35" s="61"/>
      <c r="P35" s="61"/>
      <c r="Q35" s="61"/>
      <c r="R35" s="61"/>
      <c r="S35" s="61"/>
      <c r="T35" s="62"/>
      <c r="U35" s="70">
        <f t="shared" si="0"/>
        <v>0</v>
      </c>
      <c r="V35" s="71">
        <f t="shared" si="1"/>
        <v>0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</row>
    <row r="36" spans="1:57" ht="13.15" x14ac:dyDescent="0.4">
      <c r="A36" s="46"/>
      <c r="B36" s="46"/>
      <c r="C36" s="47"/>
      <c r="D36" s="48"/>
      <c r="E36" s="48"/>
      <c r="F36" s="48"/>
      <c r="G36" s="48"/>
      <c r="H36" s="48"/>
      <c r="I36" s="72">
        <f>INDEX(Inputs!$J$64:$J$66,MATCH('Base Case'!J36,Inputs!$D$64:$D$66,0))</f>
        <v>2</v>
      </c>
      <c r="J36" s="100" t="s">
        <v>39</v>
      </c>
      <c r="K36" s="101" t="str">
        <f t="shared" si="2"/>
        <v>[Spare]</v>
      </c>
      <c r="L36" s="102"/>
      <c r="M36" s="102"/>
      <c r="N36" s="103"/>
      <c r="O36" s="135"/>
      <c r="P36" s="135"/>
      <c r="Q36" s="135"/>
      <c r="R36" s="135"/>
      <c r="S36" s="135"/>
      <c r="T36" s="136"/>
      <c r="U36" s="76">
        <f t="shared" si="0"/>
        <v>0</v>
      </c>
      <c r="V36" s="77">
        <f t="shared" si="1"/>
        <v>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</row>
    <row r="37" spans="1:57" ht="13.15" x14ac:dyDescent="0.4">
      <c r="A37" s="46"/>
      <c r="B37" s="46"/>
      <c r="C37" s="47"/>
      <c r="D37" s="48"/>
      <c r="E37" s="48"/>
      <c r="F37" s="48"/>
      <c r="G37" s="48"/>
      <c r="H37" s="48"/>
      <c r="I37" s="123">
        <f>INDEX(Inputs!$J$64:$J$66,MATCH('Base Case'!J37,Inputs!$D$64:$D$66,0))</f>
        <v>1</v>
      </c>
      <c r="J37" s="124" t="s">
        <v>38</v>
      </c>
      <c r="K37" s="125" t="s">
        <v>200</v>
      </c>
      <c r="L37" s="126"/>
      <c r="M37" s="126"/>
      <c r="N37" s="127"/>
      <c r="O37" s="128"/>
      <c r="P37" s="128">
        <v>500000</v>
      </c>
      <c r="Q37" s="128"/>
      <c r="R37" s="128"/>
      <c r="S37" s="128"/>
      <c r="T37" s="129">
        <v>0.5</v>
      </c>
      <c r="U37" s="130">
        <f t="shared" si="0"/>
        <v>250000</v>
      </c>
      <c r="V37" s="131">
        <f t="shared" si="1"/>
        <v>250000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</row>
    <row r="38" spans="1:57" ht="13.15" x14ac:dyDescent="0.4">
      <c r="A38" s="46"/>
      <c r="B38" s="46"/>
      <c r="C38" s="47"/>
      <c r="D38" s="48"/>
      <c r="E38" s="48"/>
      <c r="F38" s="48"/>
      <c r="G38" s="48"/>
      <c r="H38" s="48"/>
      <c r="I38" s="72">
        <f>INDEX(Inputs!$J$64:$J$66,MATCH('Base Case'!J38,Inputs!$D$64:$D$66,0))</f>
        <v>1</v>
      </c>
      <c r="J38" s="100" t="s">
        <v>38</v>
      </c>
      <c r="K38" s="101" t="s">
        <v>199</v>
      </c>
      <c r="L38" s="102"/>
      <c r="M38" s="102"/>
      <c r="N38" s="103"/>
      <c r="O38" s="74"/>
      <c r="P38" s="74"/>
      <c r="Q38" s="74"/>
      <c r="R38" s="74">
        <v>50000</v>
      </c>
      <c r="S38" s="74"/>
      <c r="T38" s="144">
        <v>1</v>
      </c>
      <c r="U38" s="76">
        <f t="shared" si="0"/>
        <v>50000</v>
      </c>
      <c r="V38" s="77">
        <f t="shared" si="1"/>
        <v>50000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</row>
    <row r="39" spans="1:57" ht="13.15" x14ac:dyDescent="0.4">
      <c r="A39" s="46"/>
      <c r="B39" s="46"/>
      <c r="C39" s="47"/>
      <c r="D39" s="48"/>
      <c r="E39" s="48"/>
      <c r="F39" s="48"/>
      <c r="G39" s="48"/>
      <c r="H39" s="48"/>
      <c r="I39" s="59">
        <f>INDEX(Inputs!$J$64:$J$66,MATCH('Base Case'!J39,Inputs!$D$64:$D$66,0))</f>
        <v>1</v>
      </c>
      <c r="J39" s="92" t="s">
        <v>38</v>
      </c>
      <c r="K39" s="93" t="s">
        <v>201</v>
      </c>
      <c r="L39" s="94"/>
      <c r="M39" s="94"/>
      <c r="N39" s="95"/>
      <c r="O39" s="61"/>
      <c r="P39" s="61">
        <v>500000</v>
      </c>
      <c r="Q39" s="61"/>
      <c r="R39" s="61"/>
      <c r="S39" s="61"/>
      <c r="T39" s="62">
        <v>0.8</v>
      </c>
      <c r="U39" s="60">
        <f t="shared" si="0"/>
        <v>400000</v>
      </c>
      <c r="V39" s="63">
        <f t="shared" si="1"/>
        <v>400000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</row>
    <row r="40" spans="1:57" ht="13.15" x14ac:dyDescent="0.4">
      <c r="A40" s="46"/>
      <c r="B40" s="46"/>
      <c r="C40" s="47"/>
      <c r="D40" s="48"/>
      <c r="E40" s="48"/>
      <c r="F40" s="48"/>
      <c r="G40" s="48"/>
      <c r="H40" s="48"/>
      <c r="I40" s="64">
        <f>INDEX(Inputs!$J$64:$J$66,MATCH('Base Case'!J40,Inputs!$D$64:$D$66,0))</f>
        <v>1</v>
      </c>
      <c r="J40" s="96" t="s">
        <v>38</v>
      </c>
      <c r="K40" s="97" t="s">
        <v>199</v>
      </c>
      <c r="L40" s="98"/>
      <c r="M40" s="98"/>
      <c r="N40" s="99"/>
      <c r="O40" s="61"/>
      <c r="P40" s="61"/>
      <c r="Q40" s="61"/>
      <c r="R40" s="61">
        <v>50000</v>
      </c>
      <c r="S40" s="61"/>
      <c r="T40" s="62">
        <v>1</v>
      </c>
      <c r="U40" s="70">
        <f t="shared" si="0"/>
        <v>50000</v>
      </c>
      <c r="V40" s="71">
        <f t="shared" si="1"/>
        <v>50000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</row>
    <row r="41" spans="1:57" ht="13.15" x14ac:dyDescent="0.4">
      <c r="A41" s="46"/>
      <c r="B41" s="46"/>
      <c r="C41" s="47"/>
      <c r="D41" s="48"/>
      <c r="E41" s="48"/>
      <c r="F41" s="48"/>
      <c r="G41" s="48"/>
      <c r="H41" s="48"/>
      <c r="I41" s="64">
        <f>INDEX(Inputs!$J$64:$J$66,MATCH('Base Case'!J41,Inputs!$D$64:$D$66,0))</f>
        <v>1</v>
      </c>
      <c r="J41" s="96" t="s">
        <v>38</v>
      </c>
      <c r="K41" s="97" t="s">
        <v>160</v>
      </c>
      <c r="L41" s="98"/>
      <c r="M41" s="98"/>
      <c r="N41" s="99"/>
      <c r="O41" s="61"/>
      <c r="P41" s="61"/>
      <c r="Q41" s="61"/>
      <c r="R41" s="61"/>
      <c r="S41" s="61"/>
      <c r="T41" s="62"/>
      <c r="U41" s="70">
        <f t="shared" si="0"/>
        <v>0</v>
      </c>
      <c r="V41" s="71">
        <f t="shared" si="1"/>
        <v>0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</row>
    <row r="42" spans="1:57" ht="13.15" x14ac:dyDescent="0.4">
      <c r="A42" s="46"/>
      <c r="B42" s="46"/>
      <c r="C42" s="47"/>
      <c r="D42" s="48"/>
      <c r="E42" s="48"/>
      <c r="F42" s="48"/>
      <c r="G42" s="48"/>
      <c r="H42" s="48"/>
      <c r="I42" s="64">
        <f>INDEX(Inputs!$J$64:$J$66,MATCH('Base Case'!J42,Inputs!$D$64:$D$66,0))</f>
        <v>1</v>
      </c>
      <c r="J42" s="96" t="s">
        <v>38</v>
      </c>
      <c r="K42" s="97" t="s">
        <v>160</v>
      </c>
      <c r="L42" s="98"/>
      <c r="M42" s="98"/>
      <c r="N42" s="99"/>
      <c r="O42" s="61"/>
      <c r="P42" s="61"/>
      <c r="Q42" s="61"/>
      <c r="R42" s="61"/>
      <c r="S42" s="61"/>
      <c r="T42" s="62"/>
      <c r="U42" s="70">
        <f t="shared" si="0"/>
        <v>0</v>
      </c>
      <c r="V42" s="71">
        <f t="shared" si="1"/>
        <v>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</row>
    <row r="43" spans="1:57" ht="13.15" x14ac:dyDescent="0.4">
      <c r="A43" s="46"/>
      <c r="B43" s="46"/>
      <c r="C43" s="47"/>
      <c r="D43" s="48"/>
      <c r="E43" s="48"/>
      <c r="F43" s="48"/>
      <c r="G43" s="48"/>
      <c r="H43" s="48"/>
      <c r="I43" s="64">
        <f>INDEX(Inputs!$J$64:$J$66,MATCH('Base Case'!J43,Inputs!$D$64:$D$66,0))</f>
        <v>1</v>
      </c>
      <c r="J43" s="96" t="s">
        <v>38</v>
      </c>
      <c r="K43" s="97" t="s">
        <v>160</v>
      </c>
      <c r="L43" s="98"/>
      <c r="M43" s="98"/>
      <c r="N43" s="99"/>
      <c r="O43" s="61"/>
      <c r="P43" s="61"/>
      <c r="Q43" s="61"/>
      <c r="R43" s="61"/>
      <c r="S43" s="61"/>
      <c r="T43" s="62"/>
      <c r="U43" s="70">
        <f t="shared" si="0"/>
        <v>0</v>
      </c>
      <c r="V43" s="71">
        <f t="shared" si="1"/>
        <v>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</row>
    <row r="44" spans="1:57" ht="13.15" x14ac:dyDescent="0.4">
      <c r="A44" s="46"/>
      <c r="B44" s="46"/>
      <c r="C44" s="47"/>
      <c r="D44" s="48"/>
      <c r="E44" s="48"/>
      <c r="F44" s="48"/>
      <c r="G44" s="48"/>
      <c r="H44" s="48"/>
      <c r="I44" s="64">
        <f>INDEX(Inputs!$J$64:$J$66,MATCH('Base Case'!J44,Inputs!$D$64:$D$66,0))</f>
        <v>1</v>
      </c>
      <c r="J44" s="96" t="s">
        <v>38</v>
      </c>
      <c r="K44" s="97" t="s">
        <v>160</v>
      </c>
      <c r="L44" s="98"/>
      <c r="M44" s="98"/>
      <c r="N44" s="99"/>
      <c r="O44" s="61"/>
      <c r="P44" s="61"/>
      <c r="Q44" s="61"/>
      <c r="R44" s="61"/>
      <c r="S44" s="61"/>
      <c r="T44" s="62"/>
      <c r="U44" s="70">
        <f t="shared" si="0"/>
        <v>0</v>
      </c>
      <c r="V44" s="71">
        <f t="shared" si="1"/>
        <v>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</row>
    <row r="45" spans="1:57" ht="13.15" x14ac:dyDescent="0.4">
      <c r="A45" s="46"/>
      <c r="B45" s="46"/>
      <c r="C45" s="47"/>
      <c r="D45" s="48"/>
      <c r="E45" s="48"/>
      <c r="F45" s="48"/>
      <c r="G45" s="48"/>
      <c r="H45" s="48"/>
      <c r="I45" s="64">
        <f>INDEX(Inputs!$J$64:$J$66,MATCH('Base Case'!J45,Inputs!$D$64:$D$66,0))</f>
        <v>1</v>
      </c>
      <c r="J45" s="96" t="s">
        <v>38</v>
      </c>
      <c r="K45" s="97" t="s">
        <v>160</v>
      </c>
      <c r="L45" s="98"/>
      <c r="M45" s="98"/>
      <c r="N45" s="99"/>
      <c r="O45" s="61"/>
      <c r="P45" s="61"/>
      <c r="Q45" s="61"/>
      <c r="R45" s="61"/>
      <c r="S45" s="61"/>
      <c r="T45" s="62"/>
      <c r="U45" s="70">
        <f t="shared" si="0"/>
        <v>0</v>
      </c>
      <c r="V45" s="71">
        <f t="shared" si="1"/>
        <v>0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</row>
    <row r="46" spans="1:57" ht="13.15" x14ac:dyDescent="0.4">
      <c r="A46" s="46"/>
      <c r="B46" s="46"/>
      <c r="C46" s="47"/>
      <c r="D46" s="48"/>
      <c r="E46" s="48"/>
      <c r="F46" s="48"/>
      <c r="G46" s="48"/>
      <c r="H46" s="48"/>
      <c r="I46" s="72">
        <f>INDEX(Inputs!$J$64:$J$66,MATCH('Base Case'!J46,Inputs!$D$64:$D$66,0))</f>
        <v>1</v>
      </c>
      <c r="J46" s="100" t="s">
        <v>38</v>
      </c>
      <c r="K46" s="101" t="s">
        <v>160</v>
      </c>
      <c r="L46" s="102"/>
      <c r="M46" s="102"/>
      <c r="N46" s="103"/>
      <c r="O46" s="135"/>
      <c r="P46" s="135"/>
      <c r="Q46" s="135"/>
      <c r="R46" s="135"/>
      <c r="S46" s="135"/>
      <c r="T46" s="136"/>
      <c r="U46" s="76">
        <f t="shared" si="0"/>
        <v>0</v>
      </c>
      <c r="V46" s="77">
        <f t="shared" si="1"/>
        <v>0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</row>
    <row r="47" spans="1:57" ht="13.15" x14ac:dyDescent="0.4">
      <c r="A47" s="46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</row>
    <row r="48" spans="1:57" ht="13.15" x14ac:dyDescent="0.4">
      <c r="A48" s="46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7" ht="13.15" x14ac:dyDescent="0.4">
      <c r="A49" s="46"/>
      <c r="B49" s="46"/>
      <c r="C49" s="47"/>
      <c r="D49" s="48"/>
      <c r="E49" s="48"/>
      <c r="F49" s="48"/>
      <c r="G49" s="48"/>
      <c r="H49" s="48"/>
      <c r="I49" s="78">
        <f>INDEX(Inputs!$J$64:$J$66,MATCH('Base Case'!J49,Inputs!$D$64:$D$66,0))</f>
        <v>1</v>
      </c>
      <c r="J49" s="79" t="s">
        <v>38</v>
      </c>
      <c r="K49" s="48"/>
      <c r="L49" s="48"/>
      <c r="M49" s="48"/>
      <c r="N49" s="48"/>
      <c r="O49" s="66">
        <f>SUMIF($I$17:$I$46,$I49,O$17:O$46)</f>
        <v>0</v>
      </c>
      <c r="P49" s="66">
        <f t="shared" ref="P49:V49" si="3">SUMIF($I$17:$I$46,$I49,P$17:P$46)</f>
        <v>1000000</v>
      </c>
      <c r="Q49" s="66">
        <f t="shared" si="3"/>
        <v>0</v>
      </c>
      <c r="R49" s="66">
        <f t="shared" si="3"/>
        <v>100000</v>
      </c>
      <c r="S49" s="66">
        <f t="shared" si="3"/>
        <v>0</v>
      </c>
      <c r="T49" s="53">
        <f>IFERROR(U49/SUM(O49:S49),0)</f>
        <v>0.68181818181818177</v>
      </c>
      <c r="U49" s="66">
        <f t="shared" si="3"/>
        <v>750000</v>
      </c>
      <c r="V49" s="66">
        <f t="shared" si="3"/>
        <v>750000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</row>
    <row r="50" spans="1:57" ht="13.15" x14ac:dyDescent="0.4">
      <c r="A50" s="46"/>
      <c r="B50" s="46"/>
      <c r="C50" s="47"/>
      <c r="D50" s="48"/>
      <c r="E50" s="48"/>
      <c r="F50" s="48"/>
      <c r="G50" s="48"/>
      <c r="H50" s="48"/>
      <c r="I50" s="78">
        <f>INDEX(Inputs!$J$64:$J$66,MATCH('Base Case'!J50,Inputs!$D$64:$D$66,0))</f>
        <v>2</v>
      </c>
      <c r="J50" s="79" t="s">
        <v>39</v>
      </c>
      <c r="K50" s="48"/>
      <c r="L50" s="48"/>
      <c r="M50" s="48"/>
      <c r="N50" s="48"/>
      <c r="O50" s="66">
        <f t="shared" ref="O50:V51" si="4">SUMIF($I$17:$I$46,$I50,O$17:O$46)</f>
        <v>500000</v>
      </c>
      <c r="P50" s="66">
        <f t="shared" si="4"/>
        <v>14280000.000000002</v>
      </c>
      <c r="Q50" s="66">
        <f t="shared" si="4"/>
        <v>900000</v>
      </c>
      <c r="R50" s="66">
        <f t="shared" si="4"/>
        <v>500000</v>
      </c>
      <c r="S50" s="66">
        <f t="shared" si="4"/>
        <v>0</v>
      </c>
      <c r="T50" s="53">
        <f t="shared" ref="T50:T51" si="5">U50/SUM(O50:S50)</f>
        <v>0.26922126081582198</v>
      </c>
      <c r="U50" s="66">
        <f t="shared" si="4"/>
        <v>4356000</v>
      </c>
      <c r="V50" s="66">
        <f t="shared" si="4"/>
        <v>3856000.0000000005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</row>
    <row r="51" spans="1:57" ht="13.15" x14ac:dyDescent="0.4">
      <c r="A51" s="46"/>
      <c r="B51" s="46"/>
      <c r="C51" s="47"/>
      <c r="D51" s="48"/>
      <c r="E51" s="48"/>
      <c r="F51" s="48"/>
      <c r="G51" s="48"/>
      <c r="H51" s="48"/>
      <c r="I51" s="78">
        <f>INDEX(Inputs!$J$64:$J$66,MATCH('Base Case'!J51,Inputs!$D$64:$D$66,0))</f>
        <v>3</v>
      </c>
      <c r="J51" s="79" t="s">
        <v>40</v>
      </c>
      <c r="K51" s="80"/>
      <c r="L51" s="80"/>
      <c r="M51" s="80"/>
      <c r="N51" s="80"/>
      <c r="O51" s="66">
        <f t="shared" si="4"/>
        <v>500000</v>
      </c>
      <c r="P51" s="66">
        <f t="shared" si="4"/>
        <v>14280000.000000002</v>
      </c>
      <c r="Q51" s="66">
        <f t="shared" si="4"/>
        <v>900000</v>
      </c>
      <c r="R51" s="66">
        <f t="shared" si="4"/>
        <v>500000</v>
      </c>
      <c r="S51" s="66">
        <f t="shared" si="4"/>
        <v>0</v>
      </c>
      <c r="T51" s="53">
        <f t="shared" si="5"/>
        <v>0.26922126081582198</v>
      </c>
      <c r="U51" s="66">
        <f t="shared" si="4"/>
        <v>4356000</v>
      </c>
      <c r="V51" s="66">
        <f t="shared" si="4"/>
        <v>3856000.0000000005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</row>
    <row r="52" spans="1:57" ht="13.15" x14ac:dyDescent="0.4">
      <c r="A52" s="46"/>
      <c r="B52" s="46"/>
      <c r="C52" s="47"/>
      <c r="D52" s="48"/>
      <c r="E52" s="48"/>
      <c r="F52" s="48"/>
      <c r="G52" s="48"/>
      <c r="H52" s="48"/>
      <c r="I52" s="80" t="s">
        <v>161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>
        <f>SUM(U49:U51)</f>
        <v>9462000</v>
      </c>
      <c r="V52" s="81">
        <f>SUM(V49:V51)</f>
        <v>8462000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</row>
    <row r="53" spans="1:57" ht="13.15" x14ac:dyDescent="0.4">
      <c r="A53" s="46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</row>
    <row r="54" spans="1:57" ht="13.15" x14ac:dyDescent="0.4">
      <c r="A54" s="49" t="str">
        <f>C8&amp;" "&amp;I8&amp;": PoE, Load and VCR assumptions"</f>
        <v>Scenario Base case: PoE, Load and VCR assumptions</v>
      </c>
      <c r="B54" s="49"/>
      <c r="C54" s="50"/>
      <c r="D54" s="51"/>
      <c r="E54" s="51"/>
      <c r="F54" s="51"/>
      <c r="G54" s="51"/>
      <c r="H54" s="51"/>
      <c r="I54" s="51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</row>
    <row r="55" spans="1:57" ht="13.15" x14ac:dyDescent="0.4">
      <c r="A55" s="46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</row>
    <row r="56" spans="1:57" ht="13.15" x14ac:dyDescent="0.4">
      <c r="A56" s="46"/>
      <c r="B56" s="46" t="s">
        <v>50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</row>
    <row r="57" spans="1:57" ht="13.15" x14ac:dyDescent="0.4">
      <c r="A57" s="46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</row>
    <row r="58" spans="1:57" ht="13.15" x14ac:dyDescent="0.4">
      <c r="A58" s="46"/>
      <c r="B58" s="46"/>
      <c r="C58" s="47" t="s">
        <v>51</v>
      </c>
      <c r="D58" s="48"/>
      <c r="E58" s="48"/>
      <c r="F58" s="48"/>
      <c r="G58" s="48"/>
      <c r="H58" s="48"/>
      <c r="I58" s="48"/>
      <c r="J58" s="82">
        <f>Inputs!J79</f>
        <v>1</v>
      </c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</row>
    <row r="59" spans="1:57" ht="13.15" x14ac:dyDescent="0.4">
      <c r="A59" s="46"/>
      <c r="B59" s="46"/>
      <c r="C59" s="47" t="s">
        <v>52</v>
      </c>
      <c r="D59" s="48"/>
      <c r="E59" s="48"/>
      <c r="F59" s="48"/>
      <c r="G59" s="48"/>
      <c r="H59" s="48"/>
      <c r="I59" s="48"/>
      <c r="J59" s="66">
        <f>Inputs!J80</f>
        <v>0</v>
      </c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</row>
    <row r="60" spans="1:57" ht="13.15" x14ac:dyDescent="0.4">
      <c r="A60" s="46"/>
      <c r="B60" s="46"/>
      <c r="C60" s="47"/>
      <c r="D60" s="48" t="s">
        <v>53</v>
      </c>
      <c r="E60" s="48"/>
      <c r="F60" s="48"/>
      <c r="G60" s="48"/>
      <c r="H60" s="48"/>
      <c r="I60" s="48"/>
      <c r="J60" s="66">
        <f>Inputs!J81</f>
        <v>0</v>
      </c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</row>
    <row r="61" spans="1:57" ht="13.15" x14ac:dyDescent="0.4">
      <c r="A61" s="46"/>
      <c r="B61" s="46"/>
      <c r="C61" s="47"/>
      <c r="D61" s="48" t="s">
        <v>54</v>
      </c>
      <c r="E61" s="48"/>
      <c r="F61" s="48"/>
      <c r="G61" s="48"/>
      <c r="H61" s="48"/>
      <c r="I61" s="48"/>
      <c r="J61" s="66">
        <f>Inputs!J82</f>
        <v>0</v>
      </c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</row>
    <row r="62" spans="1:57" ht="13.15" x14ac:dyDescent="0.4">
      <c r="A62" s="46"/>
      <c r="B62" s="46"/>
      <c r="C62" s="47"/>
      <c r="D62" s="48" t="s">
        <v>55</v>
      </c>
      <c r="E62" s="48"/>
      <c r="F62" s="48"/>
      <c r="G62" s="48"/>
      <c r="H62" s="48"/>
      <c r="I62" s="48"/>
      <c r="J62" s="66">
        <f>Inputs!J83</f>
        <v>0</v>
      </c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</row>
    <row r="63" spans="1:57" ht="13.15" x14ac:dyDescent="0.4">
      <c r="A63" s="46"/>
      <c r="B63" s="46"/>
      <c r="C63" s="47"/>
      <c r="D63" s="48" t="s">
        <v>56</v>
      </c>
      <c r="E63" s="48"/>
      <c r="F63" s="48"/>
      <c r="G63" s="48"/>
      <c r="H63" s="48"/>
      <c r="I63" s="48"/>
      <c r="J63" s="66">
        <f>Inputs!J84</f>
        <v>0</v>
      </c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</row>
    <row r="64" spans="1:57" ht="13.15" x14ac:dyDescent="0.4">
      <c r="A64" s="46"/>
      <c r="B64" s="46"/>
      <c r="C64" s="47"/>
      <c r="D64" s="80" t="s">
        <v>57</v>
      </c>
      <c r="E64" s="80"/>
      <c r="F64" s="80"/>
      <c r="G64" s="80"/>
      <c r="H64" s="80"/>
      <c r="I64" s="80"/>
      <c r="J64" s="66">
        <f>Inputs!J85</f>
        <v>0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</row>
    <row r="65" spans="1:57" ht="13.15" x14ac:dyDescent="0.4">
      <c r="A65" s="46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</row>
    <row r="66" spans="1:57" ht="13.15" x14ac:dyDescent="0.4">
      <c r="A66" s="46"/>
      <c r="B66" s="46" t="str">
        <f>Inputs!B182</f>
        <v>Probability of exceedance (PoE) forecast, Mega Volt Ampere (MVA)</v>
      </c>
      <c r="C66" s="47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</row>
    <row r="67" spans="1:57" ht="13.15" x14ac:dyDescent="0.4">
      <c r="A67" s="46"/>
      <c r="B67" s="46"/>
      <c r="C67" s="47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x14ac:dyDescent="0.2">
      <c r="A68" s="46"/>
      <c r="B68" s="46"/>
      <c r="C68" s="47" t="str">
        <f>Inputs!C184</f>
        <v>PoE forecast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</row>
    <row r="69" spans="1:57" x14ac:dyDescent="0.2">
      <c r="A69" s="46"/>
      <c r="B69" s="46"/>
      <c r="C69" s="47"/>
      <c r="D69" s="48" t="str">
        <f>Inputs!D185</f>
        <v>10% PoE forecast, MVA</v>
      </c>
      <c r="E69" s="48"/>
      <c r="F69" s="48"/>
      <c r="G69" s="48"/>
      <c r="H69" s="48"/>
      <c r="I69" s="48"/>
      <c r="J69" s="83">
        <f>Inputs!J185</f>
        <v>0.1</v>
      </c>
      <c r="K69" s="48"/>
      <c r="L69" s="48"/>
      <c r="M69" s="48"/>
      <c r="N69" s="48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</row>
    <row r="70" spans="1:57" x14ac:dyDescent="0.2">
      <c r="A70" s="46"/>
      <c r="B70" s="46"/>
      <c r="C70" s="47"/>
      <c r="D70" s="80" t="str">
        <f>Inputs!D186</f>
        <v>50% PoE forecast, MVA</v>
      </c>
      <c r="E70" s="80"/>
      <c r="F70" s="80"/>
      <c r="G70" s="80"/>
      <c r="H70" s="80"/>
      <c r="I70" s="80"/>
      <c r="J70" s="83">
        <f>Inputs!J186</f>
        <v>0.5</v>
      </c>
      <c r="K70" s="80"/>
      <c r="L70" s="80"/>
      <c r="M70" s="80"/>
      <c r="N70" s="8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</row>
    <row r="71" spans="1:57" x14ac:dyDescent="0.2">
      <c r="A71" s="46"/>
      <c r="B71" s="46"/>
      <c r="C71" s="47"/>
      <c r="D71" s="48" t="str">
        <f>Inputs!D187</f>
        <v>Selected</v>
      </c>
      <c r="E71" s="48"/>
      <c r="F71" s="48"/>
      <c r="G71" s="48"/>
      <c r="H71" s="48"/>
      <c r="I71" s="48"/>
      <c r="J71" s="84">
        <f>Inputs!J187</f>
        <v>0.7</v>
      </c>
      <c r="K71" s="48"/>
      <c r="L71" s="48"/>
      <c r="M71" s="48"/>
      <c r="N71" s="48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</row>
    <row r="72" spans="1:57" x14ac:dyDescent="0.2">
      <c r="A72" s="46"/>
      <c r="B72" s="46"/>
      <c r="C72" s="47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</row>
    <row r="73" spans="1:57" x14ac:dyDescent="0.2">
      <c r="A73" s="46"/>
      <c r="B73" s="46" t="str">
        <f>Inputs!B189</f>
        <v>Load at risk</v>
      </c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</row>
    <row r="74" spans="1:57" x14ac:dyDescent="0.2">
      <c r="A74" s="46"/>
      <c r="B74" s="46"/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</row>
    <row r="75" spans="1:57" x14ac:dyDescent="0.2">
      <c r="A75" s="46"/>
      <c r="B75" s="46"/>
      <c r="C75" s="47" t="str">
        <f>Inputs!C191</f>
        <v>Selected profile, MVA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</row>
    <row r="76" spans="1:57" x14ac:dyDescent="0.2">
      <c r="A76" s="46"/>
      <c r="B76" s="46"/>
      <c r="C76" s="47"/>
      <c r="D76" s="48" t="s">
        <v>141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</row>
    <row r="77" spans="1:57" x14ac:dyDescent="0.2">
      <c r="A77" s="46"/>
      <c r="B77" s="46"/>
      <c r="C77" s="47"/>
      <c r="D77" s="48" t="s">
        <v>142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</row>
    <row r="78" spans="1:57" x14ac:dyDescent="0.2">
      <c r="A78" s="46"/>
      <c r="B78" s="46"/>
      <c r="C78" s="47"/>
      <c r="D78" s="48" t="s">
        <v>143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</row>
    <row r="79" spans="1:57" x14ac:dyDescent="0.2">
      <c r="A79" s="46"/>
      <c r="B79" s="46"/>
      <c r="C79" s="47"/>
      <c r="D79" s="48" t="s">
        <v>144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</row>
    <row r="80" spans="1:57" x14ac:dyDescent="0.2">
      <c r="A80" s="46"/>
      <c r="B80" s="46"/>
      <c r="C80" s="47"/>
      <c r="D80" s="80" t="s">
        <v>145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</row>
    <row r="81" spans="1:57" x14ac:dyDescent="0.2">
      <c r="A81" s="46"/>
      <c r="B81" s="46"/>
      <c r="C81" s="47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</row>
    <row r="82" spans="1:57" x14ac:dyDescent="0.2">
      <c r="A82" s="46"/>
      <c r="B82" s="46" t="s">
        <v>162</v>
      </c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</row>
    <row r="83" spans="1:57" x14ac:dyDescent="0.2">
      <c r="A83" s="46"/>
      <c r="B83" s="46"/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</row>
    <row r="84" spans="1:57" x14ac:dyDescent="0.2">
      <c r="A84" s="46"/>
      <c r="B84" s="46"/>
      <c r="C84" s="47" t="s">
        <v>163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</row>
    <row r="85" spans="1:57" x14ac:dyDescent="0.2">
      <c r="A85" s="46"/>
      <c r="B85" s="46"/>
      <c r="C85" s="47"/>
      <c r="D85" s="48"/>
      <c r="E85" s="48" t="s">
        <v>188</v>
      </c>
      <c r="F85" s="48"/>
      <c r="G85" s="48"/>
      <c r="H85" s="48"/>
      <c r="I85" s="48"/>
      <c r="J85" s="48"/>
      <c r="K85" s="48"/>
      <c r="L85" s="48"/>
      <c r="M85" s="48"/>
      <c r="N85" s="48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</row>
    <row r="86" spans="1:57" x14ac:dyDescent="0.2">
      <c r="A86" s="46"/>
      <c r="B86" s="46"/>
      <c r="C86" s="47"/>
      <c r="D86" s="48"/>
      <c r="E86" s="80" t="s">
        <v>189</v>
      </c>
      <c r="F86" s="80"/>
      <c r="G86" s="80"/>
      <c r="H86" s="80"/>
      <c r="I86" s="80"/>
      <c r="J86" s="80"/>
      <c r="K86" s="80"/>
      <c r="L86" s="80"/>
      <c r="M86" s="80"/>
      <c r="N86" s="8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</row>
    <row r="87" spans="1:57" x14ac:dyDescent="0.2">
      <c r="A87" s="46"/>
      <c r="B87" s="46"/>
      <c r="C87" s="47"/>
      <c r="D87" s="85" t="str">
        <f>D76</f>
        <v>N</v>
      </c>
      <c r="E87" s="85" t="s">
        <v>163</v>
      </c>
      <c r="F87" s="85"/>
      <c r="G87" s="85"/>
      <c r="H87" s="85"/>
      <c r="I87" s="85"/>
      <c r="J87" s="85"/>
      <c r="K87" s="85"/>
      <c r="L87" s="85"/>
      <c r="M87" s="85"/>
      <c r="N87" s="85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</row>
    <row r="88" spans="1:57" x14ac:dyDescent="0.2">
      <c r="A88" s="46"/>
      <c r="B88" s="46"/>
      <c r="C88" s="47"/>
      <c r="D88" s="48"/>
      <c r="E88" s="48" t="str">
        <f t="shared" ref="E88:E99" si="6">E85</f>
        <v>Days to connect generators, plus 1 day lead time</v>
      </c>
      <c r="F88" s="48"/>
      <c r="G88" s="48"/>
      <c r="H88" s="48"/>
      <c r="I88" s="48"/>
      <c r="J88" s="48"/>
      <c r="K88" s="48"/>
      <c r="L88" s="48"/>
      <c r="M88" s="48"/>
      <c r="N88" s="48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</row>
    <row r="89" spans="1:57" x14ac:dyDescent="0.2">
      <c r="A89" s="46"/>
      <c r="B89" s="46"/>
      <c r="C89" s="47"/>
      <c r="D89" s="48"/>
      <c r="E89" s="80" t="str">
        <f t="shared" si="6"/>
        <v>Adjustment</v>
      </c>
      <c r="F89" s="80"/>
      <c r="G89" s="80"/>
      <c r="H89" s="80"/>
      <c r="I89" s="80"/>
      <c r="J89" s="80"/>
      <c r="K89" s="80"/>
      <c r="L89" s="80"/>
      <c r="M89" s="80"/>
      <c r="N89" s="8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</row>
    <row r="90" spans="1:57" x14ac:dyDescent="0.2">
      <c r="A90" s="46"/>
      <c r="B90" s="46"/>
      <c r="C90" s="47"/>
      <c r="D90" s="85" t="str">
        <f>D77</f>
        <v>N-1</v>
      </c>
      <c r="E90" s="85" t="str">
        <f t="shared" si="6"/>
        <v>Average load at risk (pu)</v>
      </c>
      <c r="F90" s="85"/>
      <c r="G90" s="85"/>
      <c r="H90" s="85"/>
      <c r="I90" s="85"/>
      <c r="J90" s="85"/>
      <c r="K90" s="85"/>
      <c r="L90" s="85"/>
      <c r="M90" s="85"/>
      <c r="N90" s="85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</row>
    <row r="91" spans="1:57" x14ac:dyDescent="0.2">
      <c r="A91" s="46"/>
      <c r="B91" s="46"/>
      <c r="C91" s="47"/>
      <c r="D91" s="48"/>
      <c r="E91" s="48" t="str">
        <f t="shared" si="6"/>
        <v>Days to connect generators, plus 1 day lead time</v>
      </c>
      <c r="F91" s="48"/>
      <c r="G91" s="48"/>
      <c r="H91" s="48"/>
      <c r="I91" s="48"/>
      <c r="J91" s="48"/>
      <c r="K91" s="48"/>
      <c r="L91" s="48"/>
      <c r="M91" s="48"/>
      <c r="N91" s="48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</row>
    <row r="92" spans="1:57" x14ac:dyDescent="0.2">
      <c r="A92" s="46"/>
      <c r="B92" s="46"/>
      <c r="C92" s="47"/>
      <c r="D92" s="48"/>
      <c r="E92" s="80" t="str">
        <f t="shared" si="6"/>
        <v>Adjustment</v>
      </c>
      <c r="F92" s="80"/>
      <c r="G92" s="80"/>
      <c r="H92" s="80"/>
      <c r="I92" s="80"/>
      <c r="J92" s="80"/>
      <c r="K92" s="80"/>
      <c r="L92" s="80"/>
      <c r="M92" s="80"/>
      <c r="N92" s="8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</row>
    <row r="93" spans="1:57" x14ac:dyDescent="0.2">
      <c r="A93" s="46"/>
      <c r="B93" s="46"/>
      <c r="C93" s="47"/>
      <c r="D93" s="85" t="str">
        <f>D78</f>
        <v>N-2</v>
      </c>
      <c r="E93" s="85" t="str">
        <f t="shared" si="6"/>
        <v>Average load at risk (pu)</v>
      </c>
      <c r="F93" s="85"/>
      <c r="G93" s="85"/>
      <c r="H93" s="85"/>
      <c r="I93" s="85"/>
      <c r="J93" s="85"/>
      <c r="K93" s="85"/>
      <c r="L93" s="85"/>
      <c r="M93" s="85"/>
      <c r="N93" s="85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</row>
    <row r="94" spans="1:57" x14ac:dyDescent="0.2">
      <c r="A94" s="46"/>
      <c r="B94" s="46"/>
      <c r="C94" s="47"/>
      <c r="D94" s="48"/>
      <c r="E94" s="48" t="str">
        <f t="shared" si="6"/>
        <v>Days to connect generators, plus 1 day lead time</v>
      </c>
      <c r="F94" s="48"/>
      <c r="G94" s="48"/>
      <c r="H94" s="48"/>
      <c r="I94" s="48"/>
      <c r="J94" s="48"/>
      <c r="K94" s="48"/>
      <c r="L94" s="48"/>
      <c r="M94" s="48"/>
      <c r="N94" s="48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</row>
    <row r="95" spans="1:57" x14ac:dyDescent="0.2">
      <c r="A95" s="46"/>
      <c r="B95" s="46"/>
      <c r="C95" s="47"/>
      <c r="D95" s="48"/>
      <c r="E95" s="80" t="str">
        <f t="shared" si="6"/>
        <v>Adjustment</v>
      </c>
      <c r="F95" s="80"/>
      <c r="G95" s="80"/>
      <c r="H95" s="80"/>
      <c r="I95" s="80"/>
      <c r="J95" s="80"/>
      <c r="K95" s="80"/>
      <c r="L95" s="80"/>
      <c r="M95" s="80"/>
      <c r="N95" s="8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</row>
    <row r="96" spans="1:57" x14ac:dyDescent="0.2">
      <c r="A96" s="46"/>
      <c r="B96" s="46"/>
      <c r="C96" s="47"/>
      <c r="D96" s="85" t="str">
        <f>D79</f>
        <v>N-3</v>
      </c>
      <c r="E96" s="85" t="str">
        <f t="shared" si="6"/>
        <v>Average load at risk (pu)</v>
      </c>
      <c r="F96" s="85"/>
      <c r="G96" s="85"/>
      <c r="H96" s="85"/>
      <c r="I96" s="85"/>
      <c r="J96" s="85"/>
      <c r="K96" s="85"/>
      <c r="L96" s="85"/>
      <c r="M96" s="85"/>
      <c r="N96" s="85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</row>
    <row r="97" spans="1:57" x14ac:dyDescent="0.2">
      <c r="A97" s="46"/>
      <c r="B97" s="46"/>
      <c r="C97" s="47"/>
      <c r="D97" s="48"/>
      <c r="E97" s="48" t="str">
        <f t="shared" si="6"/>
        <v>Days to connect generators, plus 1 day lead time</v>
      </c>
      <c r="F97" s="48"/>
      <c r="G97" s="48"/>
      <c r="H97" s="48"/>
      <c r="I97" s="48"/>
      <c r="J97" s="48"/>
      <c r="K97" s="48"/>
      <c r="L97" s="48"/>
      <c r="M97" s="48"/>
      <c r="N97" s="48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</row>
    <row r="98" spans="1:57" x14ac:dyDescent="0.2">
      <c r="A98" s="46"/>
      <c r="B98" s="46"/>
      <c r="C98" s="47"/>
      <c r="D98" s="48"/>
      <c r="E98" s="80" t="str">
        <f t="shared" si="6"/>
        <v>Adjustment</v>
      </c>
      <c r="F98" s="80"/>
      <c r="G98" s="80"/>
      <c r="H98" s="80"/>
      <c r="I98" s="80"/>
      <c r="J98" s="80"/>
      <c r="K98" s="80"/>
      <c r="L98" s="80"/>
      <c r="M98" s="80"/>
      <c r="N98" s="8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</row>
    <row r="99" spans="1:57" x14ac:dyDescent="0.2">
      <c r="A99" s="46"/>
      <c r="B99" s="46"/>
      <c r="C99" s="47"/>
      <c r="D99" s="86" t="str">
        <f>D80</f>
        <v>N-4</v>
      </c>
      <c r="E99" s="86" t="str">
        <f t="shared" si="6"/>
        <v>Average load at risk (pu)</v>
      </c>
      <c r="F99" s="86"/>
      <c r="G99" s="86"/>
      <c r="H99" s="86"/>
      <c r="I99" s="86"/>
      <c r="J99" s="86"/>
      <c r="K99" s="86"/>
      <c r="L99" s="86"/>
      <c r="M99" s="86"/>
      <c r="N99" s="86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</row>
    <row r="100" spans="1:57" x14ac:dyDescent="0.2">
      <c r="A100" s="46"/>
      <c r="B100" s="46"/>
      <c r="C100" s="4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</row>
    <row r="101" spans="1:57" x14ac:dyDescent="0.2">
      <c r="A101" s="46"/>
      <c r="B101" s="46"/>
      <c r="C101" s="47" t="s">
        <v>166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</row>
    <row r="102" spans="1:57" x14ac:dyDescent="0.2">
      <c r="A102" s="46"/>
      <c r="B102" s="46"/>
      <c r="C102" s="47"/>
      <c r="D102" s="48" t="str">
        <f>D87</f>
        <v>N</v>
      </c>
      <c r="E102" s="48"/>
      <c r="F102" s="48"/>
      <c r="G102" s="48"/>
      <c r="H102" s="48"/>
      <c r="I102" s="48"/>
      <c r="J102" s="48"/>
      <c r="K102" s="48"/>
      <c r="L102" s="48"/>
      <c r="M102" s="88"/>
      <c r="N102" s="48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</row>
    <row r="103" spans="1:57" x14ac:dyDescent="0.2">
      <c r="A103" s="46"/>
      <c r="B103" s="46"/>
      <c r="C103" s="47"/>
      <c r="D103" s="48" t="str">
        <f>D90</f>
        <v>N-1</v>
      </c>
      <c r="E103" s="48"/>
      <c r="F103" s="48"/>
      <c r="G103" s="48"/>
      <c r="H103" s="48"/>
      <c r="I103" s="48"/>
      <c r="J103" s="79" t="str">
        <f>Inputs!D64</f>
        <v>Significant</v>
      </c>
      <c r="K103" s="48"/>
      <c r="L103" s="48"/>
      <c r="M103" s="88"/>
      <c r="N103" s="48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</row>
    <row r="104" spans="1:57" x14ac:dyDescent="0.2">
      <c r="A104" s="46"/>
      <c r="B104" s="46"/>
      <c r="C104" s="47"/>
      <c r="D104" s="48" t="str">
        <f>D90</f>
        <v>N-1</v>
      </c>
      <c r="E104" s="48"/>
      <c r="F104" s="48"/>
      <c r="G104" s="48"/>
      <c r="H104" s="48"/>
      <c r="I104" s="48"/>
      <c r="J104" s="79" t="str">
        <f>Inputs!D65</f>
        <v>Major</v>
      </c>
      <c r="K104" s="48"/>
      <c r="L104" s="48"/>
      <c r="M104" s="88"/>
      <c r="N104" s="48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</row>
    <row r="105" spans="1:57" x14ac:dyDescent="0.2">
      <c r="A105" s="46"/>
      <c r="B105" s="46"/>
      <c r="C105" s="47"/>
      <c r="D105" s="48" t="str">
        <f>D93</f>
        <v>N-2</v>
      </c>
      <c r="E105" s="48"/>
      <c r="F105" s="48"/>
      <c r="G105" s="48"/>
      <c r="H105" s="48"/>
      <c r="I105" s="48"/>
      <c r="J105" s="79" t="str">
        <f>Inputs!$D$66</f>
        <v>Catastrophic</v>
      </c>
      <c r="K105" s="48"/>
      <c r="L105" s="48"/>
      <c r="M105" s="88"/>
      <c r="N105" s="48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</row>
    <row r="106" spans="1:57" x14ac:dyDescent="0.2">
      <c r="A106" s="46"/>
      <c r="B106" s="46"/>
      <c r="C106" s="47"/>
      <c r="D106" s="48" t="str">
        <f>D96</f>
        <v>N-3</v>
      </c>
      <c r="E106" s="48"/>
      <c r="F106" s="48"/>
      <c r="G106" s="48"/>
      <c r="H106" s="48"/>
      <c r="I106" s="48"/>
      <c r="J106" s="79" t="str">
        <f>Inputs!$D$66</f>
        <v>Catastrophic</v>
      </c>
      <c r="K106" s="48"/>
      <c r="L106" s="48"/>
      <c r="M106" s="88"/>
      <c r="N106" s="48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</row>
    <row r="107" spans="1:57" x14ac:dyDescent="0.2">
      <c r="A107" s="46"/>
      <c r="B107" s="46"/>
      <c r="C107" s="47"/>
      <c r="D107" s="80" t="str">
        <f>D99</f>
        <v>N-4</v>
      </c>
      <c r="E107" s="80"/>
      <c r="F107" s="80"/>
      <c r="G107" s="80"/>
      <c r="H107" s="80"/>
      <c r="I107" s="80"/>
      <c r="J107" s="79" t="str">
        <f>Inputs!$D$66</f>
        <v>Catastrophic</v>
      </c>
      <c r="K107" s="80"/>
      <c r="L107" s="80"/>
      <c r="M107" s="89"/>
      <c r="N107" s="8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</row>
    <row r="108" spans="1:57" x14ac:dyDescent="0.2">
      <c r="A108" s="46"/>
      <c r="B108" s="46"/>
      <c r="C108" s="47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</row>
    <row r="109" spans="1:57" x14ac:dyDescent="0.2">
      <c r="A109" s="49" t="s">
        <v>167</v>
      </c>
      <c r="B109" s="49"/>
      <c r="C109" s="50"/>
      <c r="D109" s="51"/>
      <c r="E109" s="51"/>
      <c r="F109" s="51"/>
      <c r="G109" s="51"/>
      <c r="H109" s="51"/>
      <c r="I109" s="51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</row>
    <row r="110" spans="1:57" x14ac:dyDescent="0.2">
      <c r="A110" s="46"/>
      <c r="B110" s="46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  <row r="111" spans="1:57" x14ac:dyDescent="0.2">
      <c r="A111" s="46"/>
      <c r="B111" s="46" t="s">
        <v>168</v>
      </c>
      <c r="C111" s="47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</row>
    <row r="112" spans="1:57" x14ac:dyDescent="0.2">
      <c r="A112" s="46"/>
      <c r="B112" s="46"/>
      <c r="C112" s="47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</row>
    <row r="113" spans="1:57" x14ac:dyDescent="0.2">
      <c r="A113" s="46"/>
      <c r="B113" s="46"/>
      <c r="C113" s="47" t="str">
        <f>Inputs!C63</f>
        <v>Failure mode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</row>
    <row r="114" spans="1:57" x14ac:dyDescent="0.2">
      <c r="A114" s="46"/>
      <c r="B114" s="46"/>
      <c r="C114" s="47"/>
      <c r="D114" s="48" t="str">
        <f>Inputs!D64</f>
        <v>Significant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53">
        <f>Inputs!O64*$I$9</f>
        <v>1.0999999999999999E-2</v>
      </c>
      <c r="P114" s="53">
        <f>Inputs!P64*$I$9</f>
        <v>1.21E-2</v>
      </c>
      <c r="Q114" s="53">
        <f>Inputs!Q64*$I$9</f>
        <v>1.3299999999999999E-2</v>
      </c>
      <c r="R114" s="53">
        <f>Inputs!R64*$I$9</f>
        <v>1.46E-2</v>
      </c>
      <c r="S114" s="53">
        <f>Inputs!S64*$I$9</f>
        <v>1.61E-2</v>
      </c>
      <c r="T114" s="53">
        <f>Inputs!T64*$I$9</f>
        <v>1.77E-2</v>
      </c>
      <c r="U114" s="53">
        <f>Inputs!U64*$I$9</f>
        <v>1.95E-2</v>
      </c>
      <c r="V114" s="53">
        <f>Inputs!V64*$I$9</f>
        <v>2.1399999999999999E-2</v>
      </c>
      <c r="W114" s="53">
        <f>Inputs!W64*$I$9</f>
        <v>2.3599999999999999E-2</v>
      </c>
      <c r="X114" s="53">
        <f>Inputs!X64*$I$9</f>
        <v>2.5899999999999999E-2</v>
      </c>
      <c r="Y114" s="53">
        <f>Inputs!Y64*$I$9</f>
        <v>2.8500000000000001E-2</v>
      </c>
      <c r="Z114" s="53">
        <f>Inputs!Z64*$I$9</f>
        <v>3.1399999999999997E-2</v>
      </c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</row>
    <row r="115" spans="1:57" x14ac:dyDescent="0.2">
      <c r="A115" s="46"/>
      <c r="B115" s="46"/>
      <c r="C115" s="47"/>
      <c r="D115" s="48" t="str">
        <f>Inputs!D65</f>
        <v>Major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53">
        <f>Inputs!O65*$I$9</f>
        <v>1.06E-2</v>
      </c>
      <c r="P115" s="53">
        <f>Inputs!P65*$I$9</f>
        <v>1.1599999999999999E-2</v>
      </c>
      <c r="Q115" s="53">
        <f>Inputs!Q65*$I$9</f>
        <v>1.2800000000000001E-2</v>
      </c>
      <c r="R115" s="53">
        <f>Inputs!R65*$I$9</f>
        <v>1.41E-2</v>
      </c>
      <c r="S115" s="53">
        <f>Inputs!S65*$I$9</f>
        <v>1.55E-2</v>
      </c>
      <c r="T115" s="53">
        <f>Inputs!T65*$I$9</f>
        <v>1.7000000000000001E-2</v>
      </c>
      <c r="U115" s="53">
        <f>Inputs!U65*$I$9</f>
        <v>1.8700000000000001E-2</v>
      </c>
      <c r="V115" s="53">
        <f>Inputs!V65*$I$9</f>
        <v>2.06E-2</v>
      </c>
      <c r="W115" s="53">
        <f>Inputs!W65*$I$9</f>
        <v>2.2599999999999999E-2</v>
      </c>
      <c r="X115" s="53">
        <f>Inputs!X65*$I$9</f>
        <v>2.4899999999999999E-2</v>
      </c>
      <c r="Y115" s="53">
        <f>Inputs!Y65*$I$9</f>
        <v>2.7400000000000001E-2</v>
      </c>
      <c r="Z115" s="53">
        <f>Inputs!Z65*$I$9</f>
        <v>3.0099999999999998E-2</v>
      </c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</row>
    <row r="116" spans="1:57" x14ac:dyDescent="0.2">
      <c r="A116" s="46"/>
      <c r="B116" s="46"/>
      <c r="C116" s="47"/>
      <c r="D116" s="80" t="str">
        <f>Inputs!D66</f>
        <v>Catastrophic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53">
        <f>Inputs!O66*$I$9</f>
        <v>0.1007</v>
      </c>
      <c r="P116" s="53">
        <f>Inputs!P66*$I$9</f>
        <v>0.11070000000000001</v>
      </c>
      <c r="Q116" s="53">
        <f>Inputs!Q66*$I$9</f>
        <v>0.12180000000000001</v>
      </c>
      <c r="R116" s="53">
        <f>Inputs!R66*$I$9</f>
        <v>0.13400000000000001</v>
      </c>
      <c r="S116" s="53">
        <f>Inputs!S66*$I$9</f>
        <v>0.1474</v>
      </c>
      <c r="T116" s="53">
        <f>Inputs!T66*$I$9</f>
        <v>0.16209999999999999</v>
      </c>
      <c r="U116" s="53">
        <f>Inputs!U66*$I$9</f>
        <v>0.17829999999999999</v>
      </c>
      <c r="V116" s="53">
        <f>Inputs!V66*$I$9</f>
        <v>0.1961</v>
      </c>
      <c r="W116" s="53">
        <f>Inputs!W66*$I$9</f>
        <v>0.21579999999999999</v>
      </c>
      <c r="X116" s="53">
        <f>Inputs!X66*$I$9</f>
        <v>0.23730000000000001</v>
      </c>
      <c r="Y116" s="53">
        <f>Inputs!Y66*$I$9</f>
        <v>0.2611</v>
      </c>
      <c r="Z116" s="53">
        <f>Inputs!Z66*$I$9</f>
        <v>0.28720000000000001</v>
      </c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</row>
    <row r="117" spans="1:57" x14ac:dyDescent="0.2">
      <c r="A117" s="46"/>
      <c r="B117" s="46"/>
      <c r="C117" s="47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</row>
    <row r="118" spans="1:57" x14ac:dyDescent="0.2">
      <c r="A118" s="46"/>
      <c r="B118" s="46"/>
      <c r="C118" s="47" t="s">
        <v>169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</row>
    <row r="119" spans="1:57" x14ac:dyDescent="0.2">
      <c r="A119" s="46"/>
      <c r="B119" s="46"/>
      <c r="C119" s="47"/>
      <c r="D119" s="48" t="str">
        <f>$O$16</f>
        <v>Network Performance</v>
      </c>
      <c r="E119" s="48"/>
      <c r="F119" s="48"/>
      <c r="G119" s="48"/>
      <c r="H119" s="48"/>
      <c r="I119" s="48"/>
      <c r="J119" s="79" t="str">
        <f>J103</f>
        <v>Significant</v>
      </c>
      <c r="K119" s="48"/>
      <c r="L119" s="48"/>
      <c r="M119" s="48"/>
      <c r="N119" s="48"/>
      <c r="O119" s="112">
        <f>$O$37*O114</f>
        <v>0</v>
      </c>
      <c r="P119" s="112">
        <f t="shared" ref="P119:Z119" si="7">$O$37*P114</f>
        <v>0</v>
      </c>
      <c r="Q119" s="112">
        <f t="shared" si="7"/>
        <v>0</v>
      </c>
      <c r="R119" s="112">
        <f t="shared" si="7"/>
        <v>0</v>
      </c>
      <c r="S119" s="112">
        <f t="shared" si="7"/>
        <v>0</v>
      </c>
      <c r="T119" s="112">
        <f t="shared" si="7"/>
        <v>0</v>
      </c>
      <c r="U119" s="112">
        <f t="shared" si="7"/>
        <v>0</v>
      </c>
      <c r="V119" s="112">
        <f t="shared" si="7"/>
        <v>0</v>
      </c>
      <c r="W119" s="112">
        <f t="shared" si="7"/>
        <v>0</v>
      </c>
      <c r="X119" s="112">
        <f t="shared" si="7"/>
        <v>0</v>
      </c>
      <c r="Y119" s="112">
        <f t="shared" si="7"/>
        <v>0</v>
      </c>
      <c r="Z119" s="112">
        <f t="shared" si="7"/>
        <v>0</v>
      </c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</row>
    <row r="120" spans="1:57" x14ac:dyDescent="0.2">
      <c r="A120" s="46"/>
      <c r="B120" s="46"/>
      <c r="C120" s="47"/>
      <c r="D120" s="48" t="str">
        <f t="shared" ref="D120:D121" si="8">$O$16</f>
        <v>Network Performance</v>
      </c>
      <c r="E120" s="48"/>
      <c r="F120" s="48"/>
      <c r="G120" s="48"/>
      <c r="H120" s="48"/>
      <c r="I120" s="48"/>
      <c r="J120" s="79" t="str">
        <f t="shared" ref="J120:J121" si="9">J104</f>
        <v>Major</v>
      </c>
      <c r="K120" s="48"/>
      <c r="L120" s="48"/>
      <c r="M120" s="48"/>
      <c r="N120" s="48"/>
      <c r="O120" s="112">
        <f>$O$27*O115</f>
        <v>5300</v>
      </c>
      <c r="P120" s="112">
        <f t="shared" ref="P120:Z120" si="10">$O$27*P115</f>
        <v>5800</v>
      </c>
      <c r="Q120" s="112">
        <f t="shared" si="10"/>
        <v>6400</v>
      </c>
      <c r="R120" s="112">
        <f t="shared" si="10"/>
        <v>7050</v>
      </c>
      <c r="S120" s="112">
        <f t="shared" si="10"/>
        <v>7750</v>
      </c>
      <c r="T120" s="112">
        <f t="shared" si="10"/>
        <v>8500</v>
      </c>
      <c r="U120" s="112">
        <f t="shared" si="10"/>
        <v>9350</v>
      </c>
      <c r="V120" s="112">
        <f t="shared" si="10"/>
        <v>10300</v>
      </c>
      <c r="W120" s="112">
        <f t="shared" si="10"/>
        <v>11300</v>
      </c>
      <c r="X120" s="112">
        <f t="shared" si="10"/>
        <v>12450</v>
      </c>
      <c r="Y120" s="112">
        <f t="shared" si="10"/>
        <v>13700</v>
      </c>
      <c r="Z120" s="112">
        <f t="shared" si="10"/>
        <v>15050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</row>
    <row r="121" spans="1:57" x14ac:dyDescent="0.2">
      <c r="A121" s="46"/>
      <c r="B121" s="46"/>
      <c r="C121" s="47"/>
      <c r="D121" s="80" t="str">
        <f t="shared" si="8"/>
        <v>Network Performance</v>
      </c>
      <c r="E121" s="80"/>
      <c r="F121" s="80"/>
      <c r="G121" s="80"/>
      <c r="H121" s="80"/>
      <c r="I121" s="80"/>
      <c r="J121" s="79" t="str">
        <f t="shared" si="9"/>
        <v>Catastrophic</v>
      </c>
      <c r="K121" s="80"/>
      <c r="L121" s="80"/>
      <c r="M121" s="80"/>
      <c r="N121" s="80"/>
      <c r="O121" s="112">
        <f>$O$17*O116</f>
        <v>50350</v>
      </c>
      <c r="P121" s="112">
        <f t="shared" ref="P121:Z121" si="11">$O$17*P116</f>
        <v>55350</v>
      </c>
      <c r="Q121" s="112">
        <f t="shared" si="11"/>
        <v>60900</v>
      </c>
      <c r="R121" s="112">
        <f t="shared" si="11"/>
        <v>67000</v>
      </c>
      <c r="S121" s="112">
        <f t="shared" si="11"/>
        <v>73700</v>
      </c>
      <c r="T121" s="112">
        <f t="shared" si="11"/>
        <v>81050</v>
      </c>
      <c r="U121" s="112">
        <f t="shared" si="11"/>
        <v>89150</v>
      </c>
      <c r="V121" s="112">
        <f t="shared" si="11"/>
        <v>98050</v>
      </c>
      <c r="W121" s="112">
        <f t="shared" si="11"/>
        <v>107900</v>
      </c>
      <c r="X121" s="112">
        <f t="shared" si="11"/>
        <v>118650</v>
      </c>
      <c r="Y121" s="112">
        <f t="shared" si="11"/>
        <v>130550</v>
      </c>
      <c r="Z121" s="112">
        <f t="shared" si="11"/>
        <v>143600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</row>
    <row r="122" spans="1:57" x14ac:dyDescent="0.2">
      <c r="A122" s="46"/>
      <c r="B122" s="46"/>
      <c r="C122" s="47"/>
      <c r="D122" s="48" t="s">
        <v>187</v>
      </c>
      <c r="E122" s="48"/>
      <c r="F122" s="48"/>
      <c r="G122" s="48"/>
      <c r="H122" s="48"/>
      <c r="I122" s="48"/>
      <c r="J122" s="113" t="str">
        <f>J119</f>
        <v>Significant</v>
      </c>
      <c r="K122" s="48"/>
      <c r="L122" s="48"/>
      <c r="M122" s="48"/>
      <c r="N122" s="48"/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04">
        <v>0</v>
      </c>
      <c r="X122" s="104">
        <v>0</v>
      </c>
      <c r="Y122" s="104">
        <v>0</v>
      </c>
      <c r="Z122" s="104">
        <v>0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</row>
    <row r="123" spans="1:57" x14ac:dyDescent="0.2">
      <c r="A123" s="46"/>
      <c r="B123" s="46"/>
      <c r="C123" s="47"/>
      <c r="D123" s="80" t="str">
        <f>D122</f>
        <v>Network Performance - Coincidental outage</v>
      </c>
      <c r="E123" s="80"/>
      <c r="F123" s="80"/>
      <c r="G123" s="80"/>
      <c r="H123" s="80"/>
      <c r="I123" s="80"/>
      <c r="J123" s="79" t="str">
        <f>J120</f>
        <v>Major</v>
      </c>
      <c r="K123" s="80"/>
      <c r="L123" s="80"/>
      <c r="M123" s="80"/>
      <c r="N123" s="80"/>
      <c r="O123" s="109">
        <v>0</v>
      </c>
      <c r="P123" s="109">
        <v>0</v>
      </c>
      <c r="Q123" s="109">
        <v>0</v>
      </c>
      <c r="R123" s="109">
        <v>0</v>
      </c>
      <c r="S123" s="109">
        <v>0</v>
      </c>
      <c r="T123" s="109">
        <v>0</v>
      </c>
      <c r="U123" s="109">
        <v>0</v>
      </c>
      <c r="V123" s="109">
        <v>0</v>
      </c>
      <c r="W123" s="109">
        <v>0</v>
      </c>
      <c r="X123" s="109">
        <v>0</v>
      </c>
      <c r="Y123" s="109">
        <v>0</v>
      </c>
      <c r="Z123" s="109">
        <v>0</v>
      </c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</row>
    <row r="124" spans="1:57" x14ac:dyDescent="0.2">
      <c r="A124" s="46"/>
      <c r="B124" s="46"/>
      <c r="C124" s="47"/>
      <c r="D124" s="48" t="s">
        <v>170</v>
      </c>
      <c r="E124" s="48"/>
      <c r="F124" s="48"/>
      <c r="G124" s="48"/>
      <c r="H124" s="48"/>
      <c r="I124" s="48"/>
      <c r="J124" s="113" t="str">
        <f>J119</f>
        <v>Significant</v>
      </c>
      <c r="K124" s="48"/>
      <c r="L124" s="48"/>
      <c r="M124" s="48"/>
      <c r="N124" s="48"/>
      <c r="O124" s="81">
        <f t="shared" ref="O124:Z124" si="12">SUMIF($J$49:$J$51,$J124,$V$49:$V$51)*O114</f>
        <v>8250</v>
      </c>
      <c r="P124" s="81">
        <f t="shared" si="12"/>
        <v>9075</v>
      </c>
      <c r="Q124" s="81">
        <f t="shared" si="12"/>
        <v>9975</v>
      </c>
      <c r="R124" s="81">
        <f t="shared" si="12"/>
        <v>10950</v>
      </c>
      <c r="S124" s="81">
        <f t="shared" si="12"/>
        <v>12075</v>
      </c>
      <c r="T124" s="81">
        <f t="shared" si="12"/>
        <v>13275</v>
      </c>
      <c r="U124" s="81">
        <f t="shared" si="12"/>
        <v>14625</v>
      </c>
      <c r="V124" s="81">
        <f t="shared" si="12"/>
        <v>16050</v>
      </c>
      <c r="W124" s="81">
        <f t="shared" si="12"/>
        <v>17700</v>
      </c>
      <c r="X124" s="81">
        <f t="shared" si="12"/>
        <v>19425</v>
      </c>
      <c r="Y124" s="81">
        <f t="shared" si="12"/>
        <v>21375</v>
      </c>
      <c r="Z124" s="81">
        <f t="shared" si="12"/>
        <v>23549.999999999996</v>
      </c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</row>
    <row r="125" spans="1:57" x14ac:dyDescent="0.2">
      <c r="A125" s="46"/>
      <c r="B125" s="46"/>
      <c r="C125" s="47"/>
      <c r="D125" s="48" t="s">
        <v>171</v>
      </c>
      <c r="E125" s="48"/>
      <c r="F125" s="48"/>
      <c r="G125" s="48"/>
      <c r="H125" s="48"/>
      <c r="I125" s="48"/>
      <c r="J125" s="79" t="str">
        <f>J120</f>
        <v>Major</v>
      </c>
      <c r="K125" s="48"/>
      <c r="L125" s="48"/>
      <c r="M125" s="48"/>
      <c r="N125" s="48"/>
      <c r="O125" s="66">
        <f t="shared" ref="O125:Z125" si="13">SUMIF($J$49:$J$51,$J125,$V$49:$V$51)*O115</f>
        <v>40873.600000000006</v>
      </c>
      <c r="P125" s="66">
        <f t="shared" si="13"/>
        <v>44729.600000000006</v>
      </c>
      <c r="Q125" s="66">
        <f t="shared" si="13"/>
        <v>49356.80000000001</v>
      </c>
      <c r="R125" s="66">
        <f t="shared" si="13"/>
        <v>54369.600000000006</v>
      </c>
      <c r="S125" s="66">
        <f t="shared" si="13"/>
        <v>59768.000000000007</v>
      </c>
      <c r="T125" s="66">
        <f t="shared" si="13"/>
        <v>65552.000000000015</v>
      </c>
      <c r="U125" s="66">
        <f t="shared" si="13"/>
        <v>72107.200000000012</v>
      </c>
      <c r="V125" s="66">
        <f t="shared" si="13"/>
        <v>79433.600000000006</v>
      </c>
      <c r="W125" s="66">
        <f t="shared" si="13"/>
        <v>87145.600000000006</v>
      </c>
      <c r="X125" s="66">
        <f t="shared" si="13"/>
        <v>96014.400000000009</v>
      </c>
      <c r="Y125" s="66">
        <f t="shared" si="13"/>
        <v>105654.40000000001</v>
      </c>
      <c r="Z125" s="66">
        <f t="shared" si="13"/>
        <v>116065.60000000001</v>
      </c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</row>
    <row r="126" spans="1:57" x14ac:dyDescent="0.2">
      <c r="A126" s="46"/>
      <c r="B126" s="46"/>
      <c r="C126" s="47"/>
      <c r="D126" s="48" t="s">
        <v>172</v>
      </c>
      <c r="E126" s="48"/>
      <c r="F126" s="48"/>
      <c r="G126" s="48"/>
      <c r="H126" s="48"/>
      <c r="I126" s="48"/>
      <c r="J126" s="79" t="str">
        <f>J121</f>
        <v>Catastrophic</v>
      </c>
      <c r="K126" s="48"/>
      <c r="L126" s="48"/>
      <c r="M126" s="48"/>
      <c r="N126" s="48"/>
      <c r="O126" s="66">
        <f t="shared" ref="O126:Z126" si="14">SUMIF($J$49:$J$51,$J126,$V$49:$V$51)*O116</f>
        <v>388299.2</v>
      </c>
      <c r="P126" s="66">
        <f t="shared" si="14"/>
        <v>426859.20000000007</v>
      </c>
      <c r="Q126" s="66">
        <f t="shared" si="14"/>
        <v>469660.8000000001</v>
      </c>
      <c r="R126" s="66">
        <f t="shared" si="14"/>
        <v>516704.00000000012</v>
      </c>
      <c r="S126" s="66">
        <f t="shared" si="14"/>
        <v>568374.4</v>
      </c>
      <c r="T126" s="66">
        <f t="shared" si="14"/>
        <v>625057.60000000009</v>
      </c>
      <c r="U126" s="66">
        <f t="shared" si="14"/>
        <v>687524.8</v>
      </c>
      <c r="V126" s="66">
        <f t="shared" si="14"/>
        <v>756161.60000000009</v>
      </c>
      <c r="W126" s="66">
        <f t="shared" si="14"/>
        <v>832124.8</v>
      </c>
      <c r="X126" s="66">
        <f t="shared" si="14"/>
        <v>915028.80000000016</v>
      </c>
      <c r="Y126" s="66">
        <f t="shared" si="14"/>
        <v>1006801.6000000001</v>
      </c>
      <c r="Z126" s="66">
        <f t="shared" si="14"/>
        <v>1107443.2000000002</v>
      </c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</row>
    <row r="127" spans="1:57" x14ac:dyDescent="0.2">
      <c r="A127" s="46"/>
      <c r="B127" s="46"/>
      <c r="C127" s="47"/>
      <c r="D127" s="80" t="s">
        <v>173</v>
      </c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66">
        <f>Inputs!$J$27*$I$11</f>
        <v>0</v>
      </c>
      <c r="P127" s="66">
        <f>Inputs!$J$27*$I$11</f>
        <v>0</v>
      </c>
      <c r="Q127" s="66">
        <f>Inputs!$J$27*$I$11</f>
        <v>0</v>
      </c>
      <c r="R127" s="66">
        <f>Inputs!$J$27*$I$11</f>
        <v>0</v>
      </c>
      <c r="S127" s="66">
        <f>Inputs!$J$27*$I$11</f>
        <v>0</v>
      </c>
      <c r="T127" s="66">
        <f>Inputs!$J$27*$I$11</f>
        <v>0</v>
      </c>
      <c r="U127" s="66">
        <f>Inputs!$J$27*$I$11</f>
        <v>0</v>
      </c>
      <c r="V127" s="66">
        <f>Inputs!$J$27*$I$11</f>
        <v>0</v>
      </c>
      <c r="W127" s="66">
        <f>Inputs!$J$27*$I$11</f>
        <v>0</v>
      </c>
      <c r="X127" s="66">
        <f>Inputs!$J$27*$I$11</f>
        <v>0</v>
      </c>
      <c r="Y127" s="66">
        <f>Inputs!$J$27*$I$11</f>
        <v>0</v>
      </c>
      <c r="Z127" s="66">
        <f>Inputs!$J$27*$I$11</f>
        <v>0</v>
      </c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</row>
    <row r="128" spans="1:57" x14ac:dyDescent="0.2">
      <c r="A128" s="46"/>
      <c r="B128" s="46"/>
      <c r="C128" s="47"/>
      <c r="D128" s="48" t="s">
        <v>161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90">
        <f>SUM(O119:O127)</f>
        <v>493072.80000000005</v>
      </c>
      <c r="P128" s="90">
        <f t="shared" ref="P128:Z128" si="15">SUM(P119:P127)</f>
        <v>541813.80000000005</v>
      </c>
      <c r="Q128" s="90">
        <f t="shared" si="15"/>
        <v>596292.60000000009</v>
      </c>
      <c r="R128" s="90">
        <f t="shared" si="15"/>
        <v>656073.60000000009</v>
      </c>
      <c r="S128" s="90">
        <f t="shared" si="15"/>
        <v>721667.4</v>
      </c>
      <c r="T128" s="90">
        <f t="shared" si="15"/>
        <v>793434.60000000009</v>
      </c>
      <c r="U128" s="90">
        <f t="shared" si="15"/>
        <v>872757</v>
      </c>
      <c r="V128" s="90">
        <f t="shared" si="15"/>
        <v>959995.20000000007</v>
      </c>
      <c r="W128" s="90">
        <f t="shared" si="15"/>
        <v>1056170.4000000001</v>
      </c>
      <c r="X128" s="90">
        <f t="shared" si="15"/>
        <v>1161568.2000000002</v>
      </c>
      <c r="Y128" s="90">
        <f t="shared" si="15"/>
        <v>1278081</v>
      </c>
      <c r="Z128" s="90">
        <f t="shared" si="15"/>
        <v>1405708.8000000003</v>
      </c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</row>
    <row r="129" spans="1:57" x14ac:dyDescent="0.2">
      <c r="A129" s="46"/>
      <c r="B129" s="46"/>
      <c r="C129" s="47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</row>
    <row r="130" spans="1:57" x14ac:dyDescent="0.2">
      <c r="A130" s="49" t="s">
        <v>174</v>
      </c>
      <c r="B130" s="49"/>
      <c r="C130" s="50"/>
      <c r="D130" s="51"/>
      <c r="E130" s="51"/>
      <c r="F130" s="51"/>
      <c r="G130" s="51"/>
      <c r="H130" s="51"/>
      <c r="I130" s="51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</row>
    <row r="131" spans="1:57" x14ac:dyDescent="0.2">
      <c r="A131" s="46"/>
      <c r="B131" s="46"/>
      <c r="C131" s="47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</row>
    <row r="132" spans="1:57" x14ac:dyDescent="0.2">
      <c r="A132" s="46"/>
      <c r="B132" s="46" t="s">
        <v>175</v>
      </c>
      <c r="C132" s="47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</row>
    <row r="133" spans="1:57" x14ac:dyDescent="0.2">
      <c r="A133" s="46"/>
      <c r="B133" s="46"/>
      <c r="C133" s="47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</row>
    <row r="134" spans="1:57" x14ac:dyDescent="0.2">
      <c r="A134" s="46"/>
      <c r="B134" s="46"/>
      <c r="C134" s="47" t="s">
        <v>176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</row>
    <row r="135" spans="1:57" x14ac:dyDescent="0.2">
      <c r="A135" s="46"/>
      <c r="B135" s="46"/>
      <c r="C135" s="47"/>
      <c r="D135" s="48" t="str">
        <f>Inputs!D22</f>
        <v>Capex ($2021)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66">
        <f>Inputs!O22*'Base Case'!$I$10</f>
        <v>0</v>
      </c>
      <c r="P135" s="66">
        <f>Inputs!P22*'Base Case'!$I$10</f>
        <v>1761621.2389380531</v>
      </c>
      <c r="Q135" s="66">
        <f>Inputs!Q22*'Base Case'!$I$10</f>
        <v>2486994.6902654869</v>
      </c>
      <c r="R135" s="66">
        <f>Inputs!R22*'Base Case'!$I$10</f>
        <v>2797869.0265486729</v>
      </c>
      <c r="S135" s="66">
        <f>Inputs!S22*'Base Case'!$I$10</f>
        <v>2797869.0265486729</v>
      </c>
      <c r="T135" s="66">
        <f>Inputs!T22*'Base Case'!$I$10</f>
        <v>2797869.0265486729</v>
      </c>
      <c r="U135" s="66">
        <f>Inputs!U22*'Base Case'!$I$10</f>
        <v>2797869.0265486729</v>
      </c>
      <c r="V135" s="66">
        <f>Inputs!V22*'Base Case'!$I$10</f>
        <v>2797869.0265486729</v>
      </c>
      <c r="W135" s="66">
        <f>Inputs!W22*'Base Case'!$I$10</f>
        <v>2797869.0265486729</v>
      </c>
      <c r="X135" s="66">
        <f>Inputs!X22*'Base Case'!$I$10</f>
        <v>2797869.0265486729</v>
      </c>
      <c r="Y135" s="66">
        <f>Inputs!Y22*'Base Case'!$I$10</f>
        <v>2797869.0265486729</v>
      </c>
      <c r="Z135" s="66">
        <f>Inputs!Z22*'Base Case'!$I$10</f>
        <v>2797869.0265486729</v>
      </c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</row>
    <row r="136" spans="1:57" x14ac:dyDescent="0.2">
      <c r="A136" s="46"/>
      <c r="B136" s="46"/>
      <c r="C136" s="47"/>
      <c r="D136" s="48" t="s">
        <v>177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66">
        <f>(O135&lt;&gt;0)*1</f>
        <v>0</v>
      </c>
      <c r="P136" s="66">
        <f t="shared" ref="P136:Z136" si="16">(P135&lt;&gt;0)*1</f>
        <v>1</v>
      </c>
      <c r="Q136" s="66">
        <f t="shared" si="16"/>
        <v>1</v>
      </c>
      <c r="R136" s="66">
        <f t="shared" si="16"/>
        <v>1</v>
      </c>
      <c r="S136" s="66">
        <f t="shared" si="16"/>
        <v>1</v>
      </c>
      <c r="T136" s="66">
        <f t="shared" si="16"/>
        <v>1</v>
      </c>
      <c r="U136" s="66">
        <f t="shared" si="16"/>
        <v>1</v>
      </c>
      <c r="V136" s="66">
        <f t="shared" si="16"/>
        <v>1</v>
      </c>
      <c r="W136" s="66">
        <f t="shared" si="16"/>
        <v>1</v>
      </c>
      <c r="X136" s="66">
        <f t="shared" si="16"/>
        <v>1</v>
      </c>
      <c r="Y136" s="66">
        <f t="shared" si="16"/>
        <v>1</v>
      </c>
      <c r="Z136" s="66">
        <f t="shared" si="16"/>
        <v>1</v>
      </c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</row>
    <row r="137" spans="1:57" x14ac:dyDescent="0.2">
      <c r="A137" s="46"/>
      <c r="B137" s="46"/>
      <c r="C137" s="47"/>
      <c r="D137" s="48" t="s">
        <v>178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53">
        <f>(O136=1)*(1+Inputs!$J$11)^(SUM(O136:$Z136)-1)</f>
        <v>0</v>
      </c>
      <c r="P137" s="53">
        <f>(P136=1)*(1+Inputs!$J$11)^(SUM(P136:$Z136)-1)</f>
        <v>1.311651032586773</v>
      </c>
      <c r="Q137" s="53">
        <f>(Q136=1)*(1+Inputs!$J$11)^(SUM(Q136:$Z136)-1)</f>
        <v>1.2765460171160807</v>
      </c>
      <c r="R137" s="53">
        <f>(R136=1)*(1+Inputs!$J$11)^(SUM(R136:$Z136)-1)</f>
        <v>1.2423805519377913</v>
      </c>
      <c r="S137" s="53">
        <f>(S136=1)*(1+Inputs!$J$11)^(SUM(S136:$Z136)-1)</f>
        <v>1.2091294909370232</v>
      </c>
      <c r="T137" s="53">
        <f>(T136=1)*(1+Inputs!$J$11)^(SUM(T136:$Z136)-1)</f>
        <v>1.1767683610092683</v>
      </c>
      <c r="U137" s="53">
        <f>(U136=1)*(1+Inputs!$J$11)^(SUM(U136:$Z136)-1)</f>
        <v>1.1452733440479497</v>
      </c>
      <c r="V137" s="53">
        <f>(V136=1)*(1+Inputs!$J$11)^(SUM(V136:$Z136)-1)</f>
        <v>1.1146212594140628</v>
      </c>
      <c r="W137" s="53">
        <f>(W136=1)*(1+Inputs!$J$11)^(SUM(W136:$Z136)-1)</f>
        <v>1.0847895468750002</v>
      </c>
      <c r="X137" s="53">
        <f>(X136=1)*(1+Inputs!$J$11)^(SUM(X136:$Z136)-1)</f>
        <v>1.0557562500000002</v>
      </c>
      <c r="Y137" s="53">
        <f>(Y136=1)*(1+Inputs!$J$11)^(SUM(Y136:$Z136)-1)</f>
        <v>1.0275000000000001</v>
      </c>
      <c r="Z137" s="53">
        <f>(Z136=1)*(1+Inputs!$J$11)^(SUM(Z136:$Z136)-1)</f>
        <v>1</v>
      </c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</row>
    <row r="138" spans="1:57" x14ac:dyDescent="0.2">
      <c r="A138" s="46"/>
      <c r="B138" s="46"/>
      <c r="C138" s="47"/>
      <c r="D138" s="48" t="s">
        <v>179</v>
      </c>
      <c r="E138" s="48"/>
      <c r="F138" s="48"/>
      <c r="G138" s="48"/>
      <c r="H138" s="48"/>
      <c r="I138" s="48"/>
      <c r="J138" s="66">
        <f>PMT(Inputs!$J$11,Inputs!$J$12,-SUMPRODUCT('Base Case'!O135:Z135,'Base Case'!O137:Z137),0,0)</f>
        <v>1245366.7782502202</v>
      </c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</row>
    <row r="139" spans="1:57" x14ac:dyDescent="0.2">
      <c r="A139" s="46"/>
      <c r="B139" s="46"/>
      <c r="C139" s="47"/>
      <c r="D139" s="48" t="s">
        <v>180</v>
      </c>
      <c r="E139" s="48"/>
      <c r="F139" s="48"/>
      <c r="G139" s="48"/>
      <c r="H139" s="48"/>
      <c r="I139" s="48"/>
      <c r="J139" s="66">
        <f>Inputs!K27*$I$11</f>
        <v>0</v>
      </c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</row>
    <row r="140" spans="1:57" x14ac:dyDescent="0.2">
      <c r="A140" s="46"/>
      <c r="B140" s="46"/>
      <c r="C140" s="47"/>
      <c r="D140" s="48" t="s">
        <v>181</v>
      </c>
      <c r="E140" s="48"/>
      <c r="F140" s="48"/>
      <c r="G140" s="48"/>
      <c r="H140" s="48"/>
      <c r="I140" s="48"/>
      <c r="J140" s="66">
        <f>SUM(J138:J139)</f>
        <v>1245366.7782502202</v>
      </c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</row>
    <row r="141" spans="1:57" x14ac:dyDescent="0.2">
      <c r="A141" s="46"/>
      <c r="B141" s="46"/>
      <c r="C141" s="47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</row>
    <row r="142" spans="1:57" x14ac:dyDescent="0.2">
      <c r="A142" s="49" t="s">
        <v>182</v>
      </c>
      <c r="B142" s="49"/>
      <c r="C142" s="50"/>
      <c r="D142" s="51"/>
      <c r="E142" s="51"/>
      <c r="F142" s="51"/>
      <c r="G142" s="51"/>
      <c r="H142" s="51"/>
      <c r="I142" s="51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</row>
    <row r="143" spans="1:57" x14ac:dyDescent="0.2">
      <c r="A143" s="46"/>
      <c r="B143" s="46"/>
      <c r="C143" s="47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</row>
    <row r="144" spans="1:57" x14ac:dyDescent="0.2">
      <c r="A144" s="46"/>
      <c r="B144" s="46" t="s">
        <v>183</v>
      </c>
      <c r="C144" s="47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</row>
    <row r="145" spans="1:57" x14ac:dyDescent="0.2">
      <c r="A145" s="46"/>
      <c r="B145" s="46"/>
      <c r="C145" s="47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</row>
    <row r="146" spans="1:57" x14ac:dyDescent="0.2">
      <c r="A146" s="46"/>
      <c r="B146" s="46"/>
      <c r="C146" s="47" t="s">
        <v>8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79">
        <f t="shared" ref="O146:Z146" si="17">O2</f>
        <v>2019</v>
      </c>
      <c r="P146" s="79">
        <f t="shared" si="17"/>
        <v>2020</v>
      </c>
      <c r="Q146" s="79">
        <f t="shared" si="17"/>
        <v>2021</v>
      </c>
      <c r="R146" s="79">
        <f t="shared" si="17"/>
        <v>2022</v>
      </c>
      <c r="S146" s="79">
        <f t="shared" si="17"/>
        <v>2023</v>
      </c>
      <c r="T146" s="79">
        <f t="shared" si="17"/>
        <v>2024</v>
      </c>
      <c r="U146" s="79">
        <f t="shared" si="17"/>
        <v>2025</v>
      </c>
      <c r="V146" s="79">
        <f t="shared" si="17"/>
        <v>2026</v>
      </c>
      <c r="W146" s="79">
        <f t="shared" si="17"/>
        <v>2027</v>
      </c>
      <c r="X146" s="79">
        <f t="shared" si="17"/>
        <v>2028</v>
      </c>
      <c r="Y146" s="79">
        <f t="shared" si="17"/>
        <v>2029</v>
      </c>
      <c r="Z146" s="79">
        <f t="shared" si="17"/>
        <v>2030</v>
      </c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</row>
    <row r="147" spans="1:57" x14ac:dyDescent="0.2">
      <c r="A147" s="46"/>
      <c r="B147" s="46"/>
      <c r="C147" s="47"/>
      <c r="D147" s="48" t="s">
        <v>184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66">
        <f>O128</f>
        <v>493072.80000000005</v>
      </c>
      <c r="P147" s="66">
        <f t="shared" ref="P147:Z147" si="18">P128</f>
        <v>541813.80000000005</v>
      </c>
      <c r="Q147" s="66">
        <f t="shared" si="18"/>
        <v>596292.60000000009</v>
      </c>
      <c r="R147" s="66">
        <f t="shared" si="18"/>
        <v>656073.60000000009</v>
      </c>
      <c r="S147" s="66">
        <f t="shared" si="18"/>
        <v>721667.4</v>
      </c>
      <c r="T147" s="66">
        <f t="shared" si="18"/>
        <v>793434.60000000009</v>
      </c>
      <c r="U147" s="66">
        <f t="shared" si="18"/>
        <v>872757</v>
      </c>
      <c r="V147" s="66">
        <f t="shared" si="18"/>
        <v>959995.20000000007</v>
      </c>
      <c r="W147" s="66">
        <f t="shared" si="18"/>
        <v>1056170.4000000001</v>
      </c>
      <c r="X147" s="66">
        <f t="shared" si="18"/>
        <v>1161568.2000000002</v>
      </c>
      <c r="Y147" s="66">
        <f t="shared" si="18"/>
        <v>1278081</v>
      </c>
      <c r="Z147" s="66">
        <f t="shared" si="18"/>
        <v>1405708.8000000003</v>
      </c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</row>
    <row r="148" spans="1:57" x14ac:dyDescent="0.2">
      <c r="A148" s="46"/>
      <c r="B148" s="46"/>
      <c r="C148" s="47"/>
      <c r="D148" s="48" t="s">
        <v>174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66">
        <f>$J$140</f>
        <v>1245366.7782502202</v>
      </c>
      <c r="P148" s="66">
        <f t="shared" ref="P148:Z148" si="19">$J$140</f>
        <v>1245366.7782502202</v>
      </c>
      <c r="Q148" s="66">
        <f t="shared" si="19"/>
        <v>1245366.7782502202</v>
      </c>
      <c r="R148" s="66">
        <f t="shared" si="19"/>
        <v>1245366.7782502202</v>
      </c>
      <c r="S148" s="66">
        <f t="shared" si="19"/>
        <v>1245366.7782502202</v>
      </c>
      <c r="T148" s="66">
        <f t="shared" si="19"/>
        <v>1245366.7782502202</v>
      </c>
      <c r="U148" s="66">
        <f t="shared" si="19"/>
        <v>1245366.7782502202</v>
      </c>
      <c r="V148" s="66">
        <f t="shared" si="19"/>
        <v>1245366.7782502202</v>
      </c>
      <c r="W148" s="66">
        <f t="shared" si="19"/>
        <v>1245366.7782502202</v>
      </c>
      <c r="X148" s="66">
        <f t="shared" si="19"/>
        <v>1245366.7782502202</v>
      </c>
      <c r="Y148" s="66">
        <f t="shared" si="19"/>
        <v>1245366.7782502202</v>
      </c>
      <c r="Z148" s="66">
        <f t="shared" si="19"/>
        <v>1245366.7782502202</v>
      </c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</row>
    <row r="149" spans="1:57" x14ac:dyDescent="0.2">
      <c r="A149" s="46"/>
      <c r="B149" s="46"/>
      <c r="C149" s="47"/>
      <c r="D149" s="48" t="s">
        <v>185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91" t="b">
        <f>(O147&gt;=O148)</f>
        <v>0</v>
      </c>
      <c r="P149" s="91" t="b">
        <f t="shared" ref="P149:Z149" si="20">(P147&gt;=P148)</f>
        <v>0</v>
      </c>
      <c r="Q149" s="91" t="b">
        <f t="shared" si="20"/>
        <v>0</v>
      </c>
      <c r="R149" s="91" t="b">
        <f t="shared" si="20"/>
        <v>0</v>
      </c>
      <c r="S149" s="91" t="b">
        <f t="shared" si="20"/>
        <v>0</v>
      </c>
      <c r="T149" s="91" t="b">
        <f t="shared" si="20"/>
        <v>0</v>
      </c>
      <c r="U149" s="91" t="b">
        <f t="shared" si="20"/>
        <v>0</v>
      </c>
      <c r="V149" s="91" t="b">
        <f t="shared" si="20"/>
        <v>0</v>
      </c>
      <c r="W149" s="91" t="b">
        <f t="shared" si="20"/>
        <v>0</v>
      </c>
      <c r="X149" s="91" t="b">
        <f t="shared" si="20"/>
        <v>0</v>
      </c>
      <c r="Y149" s="91" t="b">
        <f t="shared" si="20"/>
        <v>1</v>
      </c>
      <c r="Z149" s="91" t="b">
        <f t="shared" si="20"/>
        <v>1</v>
      </c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</row>
    <row r="150" spans="1:57" x14ac:dyDescent="0.2">
      <c r="A150" s="46"/>
      <c r="B150" s="46"/>
      <c r="C150" s="47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</row>
    <row r="151" spans="1:57" x14ac:dyDescent="0.2">
      <c r="A151" s="49" t="s">
        <v>147</v>
      </c>
      <c r="B151" s="49"/>
      <c r="C151" s="50"/>
      <c r="D151" s="51"/>
      <c r="E151" s="51"/>
      <c r="F151" s="51"/>
      <c r="G151" s="51"/>
      <c r="H151" s="51"/>
      <c r="I151" s="51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topLeftCell="A94" zoomScale="90" zoomScaleNormal="90" workbookViewId="0">
      <selection activeCell="O119" sqref="O119"/>
    </sheetView>
  </sheetViews>
  <sheetFormatPr defaultColWidth="0" defaultRowHeight="12.75" zeroHeight="1" x14ac:dyDescent="0.2"/>
  <cols>
    <col min="1" max="8" width="3.125" style="41" customWidth="1"/>
    <col min="9" max="9" width="16.25" style="41" customWidth="1"/>
    <col min="10" max="26" width="12.5" style="41" customWidth="1"/>
    <col min="27" max="27" width="3" style="41" customWidth="1"/>
    <col min="28" max="57" width="0.625" style="41" customWidth="1"/>
    <col min="58" max="16384" width="9" style="41" hidden="1"/>
  </cols>
  <sheetData>
    <row r="1" spans="1:57" ht="13.15" x14ac:dyDescent="0.4">
      <c r="A1" s="38" t="str">
        <f>Inputs!A1</f>
        <v>CitiPower - CBD Cable Pits</v>
      </c>
      <c r="B1" s="38"/>
      <c r="C1" s="39"/>
      <c r="D1" s="40"/>
      <c r="E1" s="40"/>
      <c r="F1" s="40"/>
      <c r="G1" s="40"/>
      <c r="H1" s="40"/>
      <c r="I1" s="40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13.15" x14ac:dyDescent="0.4">
      <c r="A2" s="42" t="str">
        <f ca="1">RIGHT(CELL("filename", $A$1), LEN(CELL("filename", $A$1)) - SEARCH("]", CELL("filename", $A$1)))</f>
        <v>Scenario A</v>
      </c>
      <c r="B2" s="42"/>
      <c r="C2" s="43"/>
      <c r="D2" s="44"/>
      <c r="E2" s="44"/>
      <c r="F2" s="44"/>
      <c r="G2" s="44"/>
      <c r="H2" s="44"/>
      <c r="I2" s="44"/>
      <c r="J2" s="42"/>
      <c r="K2" s="42"/>
      <c r="L2" s="42"/>
      <c r="M2" s="42"/>
      <c r="N2" s="42"/>
      <c r="O2" s="45">
        <f>Inputs!O2</f>
        <v>2019</v>
      </c>
      <c r="P2" s="45">
        <f>Inputs!P2</f>
        <v>2020</v>
      </c>
      <c r="Q2" s="45">
        <f>Inputs!Q2</f>
        <v>2021</v>
      </c>
      <c r="R2" s="45">
        <f>Inputs!R2</f>
        <v>2022</v>
      </c>
      <c r="S2" s="45">
        <f>Inputs!S2</f>
        <v>2023</v>
      </c>
      <c r="T2" s="45">
        <f>Inputs!T2</f>
        <v>2024</v>
      </c>
      <c r="U2" s="45">
        <f>Inputs!U2</f>
        <v>2025</v>
      </c>
      <c r="V2" s="45">
        <f>Inputs!V2</f>
        <v>2026</v>
      </c>
      <c r="W2" s="45">
        <f>Inputs!W2</f>
        <v>2027</v>
      </c>
      <c r="X2" s="45">
        <f>Inputs!X2</f>
        <v>2028</v>
      </c>
      <c r="Y2" s="45">
        <f>Inputs!Y2</f>
        <v>2029</v>
      </c>
      <c r="Z2" s="45">
        <f>Inputs!Z2</f>
        <v>2030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</row>
    <row r="3" spans="1:57" ht="13.15" x14ac:dyDescent="0.4">
      <c r="A3" s="46"/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ht="13.15" x14ac:dyDescent="0.4">
      <c r="A4" s="49" t="str">
        <f>C8&amp;" "&amp;I8&amp;": "&amp;B6</f>
        <v>Scenario A: Consequence calculation</v>
      </c>
      <c r="B4" s="49"/>
      <c r="C4" s="50"/>
      <c r="D4" s="51"/>
      <c r="E4" s="51"/>
      <c r="F4" s="51"/>
      <c r="G4" s="51"/>
      <c r="H4" s="51"/>
      <c r="I4" s="5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ht="13.15" x14ac:dyDescent="0.4">
      <c r="A5" s="46"/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</row>
    <row r="6" spans="1:57" ht="13.15" x14ac:dyDescent="0.4">
      <c r="A6" s="46"/>
      <c r="B6" s="46" t="s">
        <v>148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</row>
    <row r="7" spans="1:57" ht="13.15" x14ac:dyDescent="0.4">
      <c r="A7" s="46"/>
      <c r="B7" s="46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ht="13.15" x14ac:dyDescent="0.4">
      <c r="A8" s="46"/>
      <c r="B8" s="46"/>
      <c r="C8" s="47" t="s">
        <v>149</v>
      </c>
      <c r="D8" s="48"/>
      <c r="E8" s="48"/>
      <c r="F8" s="48"/>
      <c r="G8" s="48"/>
      <c r="H8" s="48"/>
      <c r="I8" s="52" t="s">
        <v>29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</row>
    <row r="9" spans="1:57" ht="13.15" x14ac:dyDescent="0.4">
      <c r="A9" s="46"/>
      <c r="B9" s="46"/>
      <c r="C9" s="47"/>
      <c r="D9" s="48" t="str">
        <f>Inputs!J52</f>
        <v>PoF</v>
      </c>
      <c r="E9" s="48"/>
      <c r="F9" s="48"/>
      <c r="G9" s="48"/>
      <c r="H9" s="48"/>
      <c r="I9" s="53">
        <f>INDEX(Inputs!$D$52:$O$57,MATCH('Scenario A'!$I$8,Inputs!$D$52:$D$57,0),MATCH('Scenario A'!$D9,Inputs!$D$52:$O$52,0))</f>
        <v>0.9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13.15" x14ac:dyDescent="0.4">
      <c r="A10" s="46"/>
      <c r="B10" s="46"/>
      <c r="C10" s="47"/>
      <c r="D10" s="48" t="str">
        <f>Inputs!K52</f>
        <v>Capex</v>
      </c>
      <c r="E10" s="48"/>
      <c r="F10" s="48"/>
      <c r="G10" s="48"/>
      <c r="H10" s="48"/>
      <c r="I10" s="53">
        <f>INDEX(Inputs!$D$52:$O$57,MATCH('Scenario A'!$I$8,Inputs!$D$52:$D$57,0),MATCH('Scenario A'!$D10,Inputs!$D$52:$O$52,0))</f>
        <v>1.1000000000000001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</row>
    <row r="11" spans="1:57" ht="13.15" x14ac:dyDescent="0.4">
      <c r="A11" s="46"/>
      <c r="B11" s="46"/>
      <c r="C11" s="47"/>
      <c r="D11" s="48" t="str">
        <f>Inputs!L52</f>
        <v>Opex</v>
      </c>
      <c r="E11" s="48"/>
      <c r="F11" s="48"/>
      <c r="G11" s="48"/>
      <c r="H11" s="48"/>
      <c r="I11" s="53">
        <f>INDEX(Inputs!$D$52:$O$57,MATCH('Scenario A'!$I$8,Inputs!$D$52:$D$57,0),MATCH('Scenario A'!$D11,Inputs!$D$52:$O$52,0))</f>
        <v>0.9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</row>
    <row r="12" spans="1:57" ht="13.15" x14ac:dyDescent="0.4">
      <c r="A12" s="46"/>
      <c r="B12" s="46"/>
      <c r="C12" s="47"/>
      <c r="D12" s="48" t="str">
        <f>Inputs!M52</f>
        <v>Demand</v>
      </c>
      <c r="E12" s="48"/>
      <c r="F12" s="48"/>
      <c r="G12" s="48"/>
      <c r="H12" s="48"/>
      <c r="I12" s="53">
        <f>INDEX(Inputs!$D$52:$O$57,MATCH('Scenario A'!$I$8,Inputs!$D$52:$D$57,0),MATCH('Scenario A'!$D12,Inputs!$D$52:$O$52,0))</f>
        <v>0.95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</row>
    <row r="13" spans="1:57" ht="13.15" x14ac:dyDescent="0.4">
      <c r="A13" s="46"/>
      <c r="B13" s="46"/>
      <c r="C13" s="47"/>
      <c r="D13" s="48" t="str">
        <f>Inputs!N52</f>
        <v>VCR</v>
      </c>
      <c r="E13" s="48"/>
      <c r="F13" s="48"/>
      <c r="G13" s="48"/>
      <c r="H13" s="48"/>
      <c r="I13" s="53">
        <f>INDEX(Inputs!$D$52:$O$57,MATCH('Scenario A'!$I$8,Inputs!$D$52:$D$57,0),MATCH('Scenario A'!$D13,Inputs!$D$52:$O$52,0))</f>
        <v>0.9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</row>
    <row r="14" spans="1:57" ht="13.15" x14ac:dyDescent="0.4">
      <c r="A14" s="46"/>
      <c r="B14" s="46"/>
      <c r="C14" s="47"/>
      <c r="D14" s="48" t="str">
        <f>Inputs!O52</f>
        <v>Environment</v>
      </c>
      <c r="E14" s="48"/>
      <c r="F14" s="48"/>
      <c r="G14" s="48"/>
      <c r="H14" s="48"/>
      <c r="I14" s="53">
        <f>INDEX(Inputs!$D$52:$O$57,MATCH('Scenario A'!$I$8,Inputs!$D$52:$D$57,0),MATCH('Scenario A'!$D14,Inputs!$D$52:$O$52,0))</f>
        <v>0.9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</row>
    <row r="15" spans="1:57" ht="13.15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</row>
    <row r="16" spans="1:57" ht="39.4" x14ac:dyDescent="0.4">
      <c r="A16" s="46"/>
      <c r="B16" s="46"/>
      <c r="C16" s="47"/>
      <c r="D16" s="48"/>
      <c r="E16" s="48"/>
      <c r="F16" s="48"/>
      <c r="G16" s="48"/>
      <c r="H16" s="48"/>
      <c r="I16" s="54" t="s">
        <v>69</v>
      </c>
      <c r="J16" s="55" t="s">
        <v>150</v>
      </c>
      <c r="K16" s="55" t="s">
        <v>151</v>
      </c>
      <c r="L16" s="55"/>
      <c r="M16" s="55"/>
      <c r="N16" s="56"/>
      <c r="O16" s="54" t="s">
        <v>152</v>
      </c>
      <c r="P16" s="55" t="s">
        <v>153</v>
      </c>
      <c r="Q16" s="55" t="s">
        <v>154</v>
      </c>
      <c r="R16" s="55" t="s">
        <v>155</v>
      </c>
      <c r="S16" s="55" t="s">
        <v>25</v>
      </c>
      <c r="T16" s="57" t="s">
        <v>156</v>
      </c>
      <c r="U16" s="54" t="s">
        <v>157</v>
      </c>
      <c r="V16" s="58" t="s">
        <v>158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</row>
    <row r="17" spans="1:57" ht="13.15" x14ac:dyDescent="0.4">
      <c r="A17" s="46"/>
      <c r="B17" s="46"/>
      <c r="C17" s="47"/>
      <c r="D17" s="48"/>
      <c r="E17" s="48"/>
      <c r="F17" s="48"/>
      <c r="G17" s="48"/>
      <c r="H17" s="48"/>
      <c r="I17" s="59">
        <f>INDEX(Inputs!$J$64:$J$66,MATCH('Scenario A'!J17,Inputs!$D$64:$D$66,0))</f>
        <v>3</v>
      </c>
      <c r="J17" s="92" t="s">
        <v>40</v>
      </c>
      <c r="K17" s="93" t="str">
        <f>'Base Case'!K17</f>
        <v>Expected average unserved energy @ VCR</v>
      </c>
      <c r="L17" s="94"/>
      <c r="M17" s="94"/>
      <c r="N17" s="95"/>
      <c r="O17" s="60">
        <f>'Base Case'!O17*'Scenario A'!$I$13</f>
        <v>450000</v>
      </c>
      <c r="P17" s="61">
        <v>0</v>
      </c>
      <c r="Q17" s="60">
        <f>'Base Case'!Q17*'Scenario A'!$I$11</f>
        <v>0</v>
      </c>
      <c r="R17" s="60">
        <f>'Base Case'!R17*'Scenario A'!$I$10</f>
        <v>0</v>
      </c>
      <c r="S17" s="60">
        <f>'Base Case'!S17*'Scenario A'!$I$14</f>
        <v>0</v>
      </c>
      <c r="T17" s="116">
        <f>'Base Case'!$T17</f>
        <v>1</v>
      </c>
      <c r="U17" s="60">
        <f>SUM(O17:S17)*T17</f>
        <v>450000</v>
      </c>
      <c r="V17" s="63">
        <f>SUM(P17:S17)*T17</f>
        <v>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</row>
    <row r="18" spans="1:57" ht="13.15" x14ac:dyDescent="0.4">
      <c r="A18" s="46"/>
      <c r="B18" s="46"/>
      <c r="C18" s="47"/>
      <c r="D18" s="48"/>
      <c r="E18" s="48"/>
      <c r="F18" s="48"/>
      <c r="G18" s="48"/>
      <c r="H18" s="48"/>
      <c r="I18" s="64">
        <f>INDEX(Inputs!$J$64:$J$66,MATCH('Scenario A'!J18,Inputs!$D$64:$D$66,0))</f>
        <v>3</v>
      </c>
      <c r="J18" s="96" t="s">
        <v>40</v>
      </c>
      <c r="K18" s="97" t="str">
        <f>'Base Case'!K18</f>
        <v>Safety consequence</v>
      </c>
      <c r="L18" s="98"/>
      <c r="M18" s="98"/>
      <c r="N18" s="99"/>
      <c r="O18" s="65">
        <v>0</v>
      </c>
      <c r="P18" s="66">
        <f>'Base Case'!P18</f>
        <v>14280000.000000002</v>
      </c>
      <c r="Q18" s="60">
        <f>'Base Case'!Q18*'Scenario A'!$I$11</f>
        <v>0</v>
      </c>
      <c r="R18" s="60">
        <f>'Base Case'!R18*'Scenario A'!$I$10</f>
        <v>0</v>
      </c>
      <c r="S18" s="60">
        <f>'Base Case'!S18*'Scenario A'!$I$14</f>
        <v>0</v>
      </c>
      <c r="T18" s="69">
        <f>'Base Case'!$T18</f>
        <v>0.2</v>
      </c>
      <c r="U18" s="70">
        <f t="shared" ref="U18:U46" si="0">SUM(O18:S18)*T18</f>
        <v>2856000.0000000005</v>
      </c>
      <c r="V18" s="71">
        <f t="shared" ref="V18:V46" si="1">SUM(P18:S18)*T18</f>
        <v>2856000.0000000005</v>
      </c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</row>
    <row r="19" spans="1:57" ht="13.15" x14ac:dyDescent="0.4">
      <c r="A19" s="46"/>
      <c r="B19" s="46"/>
      <c r="C19" s="47"/>
      <c r="D19" s="48"/>
      <c r="E19" s="48"/>
      <c r="F19" s="48"/>
      <c r="G19" s="48"/>
      <c r="H19" s="48"/>
      <c r="I19" s="64">
        <f>INDEX(Inputs!$J$64:$J$66,MATCH('Scenario A'!J19,Inputs!$D$64:$D$66,0))</f>
        <v>3</v>
      </c>
      <c r="J19" s="96" t="s">
        <v>40</v>
      </c>
      <c r="K19" s="97" t="str">
        <f>'Base Case'!K19</f>
        <v>Pit repair cost</v>
      </c>
      <c r="L19" s="98"/>
      <c r="M19" s="98"/>
      <c r="N19" s="99"/>
      <c r="O19" s="65">
        <v>0</v>
      </c>
      <c r="P19" s="67">
        <v>0</v>
      </c>
      <c r="Q19" s="60">
        <f>'Base Case'!Q19*'Scenario A'!$I$11</f>
        <v>0</v>
      </c>
      <c r="R19" s="60">
        <f>'Base Case'!R19*'Scenario A'!$I$10</f>
        <v>550000</v>
      </c>
      <c r="S19" s="60">
        <f>'Base Case'!S19*'Scenario A'!$I$14</f>
        <v>0</v>
      </c>
      <c r="T19" s="69">
        <f>'Base Case'!$T19</f>
        <v>1</v>
      </c>
      <c r="U19" s="70">
        <f t="shared" si="0"/>
        <v>550000</v>
      </c>
      <c r="V19" s="71">
        <f t="shared" si="1"/>
        <v>550000</v>
      </c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</row>
    <row r="20" spans="1:57" ht="13.15" x14ac:dyDescent="0.4">
      <c r="A20" s="46"/>
      <c r="B20" s="46"/>
      <c r="C20" s="47"/>
      <c r="D20" s="48"/>
      <c r="E20" s="48"/>
      <c r="F20" s="48"/>
      <c r="G20" s="48"/>
      <c r="H20" s="48"/>
      <c r="I20" s="64">
        <f>INDEX(Inputs!$J$64:$J$66,MATCH('Scenario A'!J20,Inputs!$D$64:$D$66,0))</f>
        <v>3</v>
      </c>
      <c r="J20" s="96" t="s">
        <v>40</v>
      </c>
      <c r="K20" s="97" t="str">
        <f>'Base Case'!K20</f>
        <v>Electrical Asset repair</v>
      </c>
      <c r="L20" s="98"/>
      <c r="M20" s="98"/>
      <c r="N20" s="99"/>
      <c r="O20" s="65">
        <v>0</v>
      </c>
      <c r="P20" s="67">
        <v>0</v>
      </c>
      <c r="Q20" s="60">
        <f>'Base Case'!Q20*'Scenario A'!$I$11</f>
        <v>360000</v>
      </c>
      <c r="R20" s="60">
        <f>'Base Case'!R20*'Scenario A'!$I$10</f>
        <v>0</v>
      </c>
      <c r="S20" s="60">
        <f>'Base Case'!S20*'Scenario A'!$I$14</f>
        <v>0</v>
      </c>
      <c r="T20" s="69">
        <f>'Base Case'!$T20</f>
        <v>1</v>
      </c>
      <c r="U20" s="70">
        <f t="shared" si="0"/>
        <v>360000</v>
      </c>
      <c r="V20" s="71">
        <f t="shared" si="1"/>
        <v>360000</v>
      </c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</row>
    <row r="21" spans="1:57" ht="13.15" x14ac:dyDescent="0.4">
      <c r="A21" s="46"/>
      <c r="B21" s="46"/>
      <c r="C21" s="47"/>
      <c r="D21" s="48"/>
      <c r="E21" s="48"/>
      <c r="F21" s="48"/>
      <c r="G21" s="48"/>
      <c r="H21" s="48"/>
      <c r="I21" s="64">
        <f>INDEX(Inputs!$J$64:$J$66,MATCH('Scenario A'!J21,Inputs!$D$64:$D$66,0))</f>
        <v>3</v>
      </c>
      <c r="J21" s="96" t="s">
        <v>40</v>
      </c>
      <c r="K21" s="97" t="str">
        <f>'Base Case'!K21</f>
        <v>Damage to telecommunications</v>
      </c>
      <c r="L21" s="98"/>
      <c r="M21" s="98"/>
      <c r="N21" s="99"/>
      <c r="O21" s="65">
        <v>0</v>
      </c>
      <c r="P21" s="67">
        <v>0</v>
      </c>
      <c r="Q21" s="60">
        <f>'Base Case'!Q21*'Scenario A'!$I$11</f>
        <v>450000</v>
      </c>
      <c r="R21" s="60">
        <f>'Base Case'!R21*'Scenario A'!$I$10</f>
        <v>0</v>
      </c>
      <c r="S21" s="60">
        <f>'Base Case'!S21*'Scenario A'!$I$14</f>
        <v>0</v>
      </c>
      <c r="T21" s="69">
        <f>'Base Case'!$T21</f>
        <v>0.2</v>
      </c>
      <c r="U21" s="70">
        <f t="shared" si="0"/>
        <v>90000</v>
      </c>
      <c r="V21" s="71">
        <f t="shared" si="1"/>
        <v>90000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ht="13.15" x14ac:dyDescent="0.4">
      <c r="A22" s="46"/>
      <c r="B22" s="46"/>
      <c r="C22" s="47"/>
      <c r="D22" s="48"/>
      <c r="E22" s="48"/>
      <c r="F22" s="48"/>
      <c r="G22" s="48"/>
      <c r="H22" s="48"/>
      <c r="I22" s="64">
        <f>INDEX(Inputs!$J$64:$J$66,MATCH('Scenario A'!J22,Inputs!$D$64:$D$66,0))</f>
        <v>3</v>
      </c>
      <c r="J22" s="96" t="s">
        <v>40</v>
      </c>
      <c r="K22" s="97" t="str">
        <f>'Base Case'!K22</f>
        <v>[Spare]</v>
      </c>
      <c r="L22" s="98"/>
      <c r="M22" s="98"/>
      <c r="N22" s="99"/>
      <c r="O22" s="65">
        <v>0</v>
      </c>
      <c r="P22" s="67">
        <v>0</v>
      </c>
      <c r="Q22" s="66">
        <v>0</v>
      </c>
      <c r="R22" s="67">
        <v>0</v>
      </c>
      <c r="S22" s="68">
        <v>0</v>
      </c>
      <c r="T22" s="69">
        <f>'Base Case'!$T22</f>
        <v>0</v>
      </c>
      <c r="U22" s="70">
        <f t="shared" si="0"/>
        <v>0</v>
      </c>
      <c r="V22" s="71">
        <f t="shared" si="1"/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</row>
    <row r="23" spans="1:57" ht="13.15" x14ac:dyDescent="0.4">
      <c r="A23" s="46"/>
      <c r="B23" s="46"/>
      <c r="C23" s="47"/>
      <c r="D23" s="48"/>
      <c r="E23" s="48"/>
      <c r="F23" s="48"/>
      <c r="G23" s="48"/>
      <c r="H23" s="48"/>
      <c r="I23" s="64">
        <f>INDEX(Inputs!$J$64:$J$66,MATCH('Scenario A'!J23,Inputs!$D$64:$D$66,0))</f>
        <v>3</v>
      </c>
      <c r="J23" s="96" t="s">
        <v>40</v>
      </c>
      <c r="K23" s="97" t="str">
        <f>'Base Case'!K23</f>
        <v>[Spare]</v>
      </c>
      <c r="L23" s="98"/>
      <c r="M23" s="98"/>
      <c r="N23" s="99"/>
      <c r="O23" s="65">
        <v>0</v>
      </c>
      <c r="P23" s="67">
        <v>0</v>
      </c>
      <c r="Q23" s="67">
        <v>0</v>
      </c>
      <c r="R23" s="67">
        <v>0</v>
      </c>
      <c r="S23" s="68">
        <v>0</v>
      </c>
      <c r="T23" s="69">
        <f>'Base Case'!$T23</f>
        <v>0</v>
      </c>
      <c r="U23" s="70">
        <f t="shared" si="0"/>
        <v>0</v>
      </c>
      <c r="V23" s="71">
        <f t="shared" si="1"/>
        <v>0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ht="13.15" x14ac:dyDescent="0.4">
      <c r="A24" s="46"/>
      <c r="B24" s="46"/>
      <c r="C24" s="47"/>
      <c r="D24" s="48"/>
      <c r="E24" s="48"/>
      <c r="F24" s="48"/>
      <c r="G24" s="48"/>
      <c r="H24" s="48"/>
      <c r="I24" s="64">
        <f>INDEX(Inputs!$J$64:$J$66,MATCH('Scenario A'!J24,Inputs!$D$64:$D$66,0))</f>
        <v>3</v>
      </c>
      <c r="J24" s="105" t="s">
        <v>40</v>
      </c>
      <c r="K24" s="106" t="str">
        <f>'Base Case'!K24</f>
        <v>[Spare]</v>
      </c>
      <c r="L24" s="107"/>
      <c r="M24" s="107"/>
      <c r="N24" s="108"/>
      <c r="O24" s="65">
        <v>0</v>
      </c>
      <c r="P24" s="109">
        <v>0</v>
      </c>
      <c r="Q24" s="109">
        <v>0</v>
      </c>
      <c r="R24" s="109">
        <v>0</v>
      </c>
      <c r="S24" s="110">
        <v>0</v>
      </c>
      <c r="T24" s="69">
        <f>'Base Case'!$T24</f>
        <v>0</v>
      </c>
      <c r="U24" s="70">
        <f t="shared" si="0"/>
        <v>0</v>
      </c>
      <c r="V24" s="71">
        <f t="shared" si="1"/>
        <v>0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</row>
    <row r="25" spans="1:57" ht="13.15" x14ac:dyDescent="0.4">
      <c r="A25" s="46"/>
      <c r="B25" s="46"/>
      <c r="C25" s="47"/>
      <c r="D25" s="48"/>
      <c r="E25" s="48"/>
      <c r="F25" s="48"/>
      <c r="G25" s="48"/>
      <c r="H25" s="48"/>
      <c r="I25" s="64">
        <f>INDEX(Inputs!$J$64:$J$66,MATCH('Scenario A'!J25,Inputs!$D$64:$D$66,0))</f>
        <v>3</v>
      </c>
      <c r="J25" s="96" t="s">
        <v>40</v>
      </c>
      <c r="K25" s="97" t="str">
        <f>'Base Case'!K25</f>
        <v>[Spare]</v>
      </c>
      <c r="L25" s="98"/>
      <c r="M25" s="98"/>
      <c r="N25" s="99"/>
      <c r="O25" s="65">
        <v>0</v>
      </c>
      <c r="P25" s="67">
        <v>0</v>
      </c>
      <c r="Q25" s="67">
        <v>0</v>
      </c>
      <c r="R25" s="67">
        <v>0</v>
      </c>
      <c r="S25" s="68">
        <v>0</v>
      </c>
      <c r="T25" s="69">
        <f>'Base Case'!$T25</f>
        <v>0</v>
      </c>
      <c r="U25" s="70">
        <f t="shared" si="0"/>
        <v>0</v>
      </c>
      <c r="V25" s="71">
        <f t="shared" si="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</row>
    <row r="26" spans="1:57" ht="13.15" x14ac:dyDescent="0.4">
      <c r="A26" s="46"/>
      <c r="B26" s="46"/>
      <c r="C26" s="47"/>
      <c r="D26" s="48"/>
      <c r="E26" s="48"/>
      <c r="F26" s="48"/>
      <c r="G26" s="48"/>
      <c r="H26" s="48"/>
      <c r="I26" s="72">
        <f>INDEX(Inputs!$J$64:$J$66,MATCH('Scenario A'!J26,Inputs!$D$64:$D$66,0))</f>
        <v>3</v>
      </c>
      <c r="J26" s="100" t="s">
        <v>40</v>
      </c>
      <c r="K26" s="101" t="str">
        <f>'Base Case'!K26</f>
        <v>[Spare]</v>
      </c>
      <c r="L26" s="102"/>
      <c r="M26" s="102"/>
      <c r="N26" s="103"/>
      <c r="O26" s="73">
        <v>0</v>
      </c>
      <c r="P26" s="74">
        <v>0</v>
      </c>
      <c r="Q26" s="74">
        <v>0</v>
      </c>
      <c r="R26" s="74">
        <v>0</v>
      </c>
      <c r="S26" s="75">
        <v>0</v>
      </c>
      <c r="T26" s="117">
        <f>'Base Case'!$T26</f>
        <v>0</v>
      </c>
      <c r="U26" s="76">
        <f t="shared" si="0"/>
        <v>0</v>
      </c>
      <c r="V26" s="77">
        <f t="shared" si="1"/>
        <v>0</v>
      </c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</row>
    <row r="27" spans="1:57" ht="13.15" x14ac:dyDescent="0.4">
      <c r="A27" s="46"/>
      <c r="B27" s="46"/>
      <c r="C27" s="47"/>
      <c r="D27" s="48"/>
      <c r="E27" s="48"/>
      <c r="F27" s="48"/>
      <c r="G27" s="48"/>
      <c r="H27" s="48"/>
      <c r="I27" s="59">
        <f>INDEX(Inputs!$J$64:$J$66,MATCH('Scenario A'!J27,Inputs!$D$64:$D$66,0))</f>
        <v>2</v>
      </c>
      <c r="J27" s="92" t="s">
        <v>39</v>
      </c>
      <c r="K27" s="93" t="str">
        <f>'Base Case'!K27</f>
        <v>Expected average unserved energy @ VCR</v>
      </c>
      <c r="L27" s="94"/>
      <c r="M27" s="94"/>
      <c r="N27" s="95"/>
      <c r="O27" s="60">
        <f>'Base Case'!O27*'Scenario A'!$I$13</f>
        <v>450000</v>
      </c>
      <c r="P27" s="61">
        <v>0</v>
      </c>
      <c r="Q27" s="60">
        <f>'Base Case'!Q27*'Scenario A'!$I$11</f>
        <v>0</v>
      </c>
      <c r="R27" s="60">
        <f>'Base Case'!R27*'Scenario A'!$I$10</f>
        <v>0</v>
      </c>
      <c r="S27" s="60">
        <f>'Base Case'!S27*'Scenario A'!$I$14</f>
        <v>0</v>
      </c>
      <c r="T27" s="116">
        <f>'Base Case'!$T27</f>
        <v>1</v>
      </c>
      <c r="U27" s="60">
        <f t="shared" si="0"/>
        <v>450000</v>
      </c>
      <c r="V27" s="63">
        <f t="shared" si="1"/>
        <v>0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</row>
    <row r="28" spans="1:57" ht="13.15" x14ac:dyDescent="0.4">
      <c r="A28" s="46"/>
      <c r="B28" s="46"/>
      <c r="C28" s="47"/>
      <c r="D28" s="48"/>
      <c r="E28" s="48"/>
      <c r="F28" s="48"/>
      <c r="G28" s="48"/>
      <c r="H28" s="48"/>
      <c r="I28" s="64">
        <f>INDEX(Inputs!$J$64:$J$66,MATCH('Scenario A'!J28,Inputs!$D$64:$D$66,0))</f>
        <v>2</v>
      </c>
      <c r="J28" s="96" t="s">
        <v>39</v>
      </c>
      <c r="K28" s="97" t="str">
        <f>'Base Case'!K28</f>
        <v>Safety consequence</v>
      </c>
      <c r="L28" s="98"/>
      <c r="M28" s="98"/>
      <c r="N28" s="99"/>
      <c r="O28" s="65">
        <v>0</v>
      </c>
      <c r="P28" s="66">
        <f>'Base Case'!P28</f>
        <v>14280000.000000002</v>
      </c>
      <c r="Q28" s="60">
        <f>'Base Case'!Q28*'Scenario A'!$I$11</f>
        <v>0</v>
      </c>
      <c r="R28" s="60">
        <f>'Base Case'!R28*'Scenario A'!$I$10</f>
        <v>0</v>
      </c>
      <c r="S28" s="60">
        <f>'Base Case'!S28*'Scenario A'!$I$14</f>
        <v>0</v>
      </c>
      <c r="T28" s="69">
        <f>'Base Case'!$T28</f>
        <v>0.2</v>
      </c>
      <c r="U28" s="70">
        <f t="shared" si="0"/>
        <v>2856000.0000000005</v>
      </c>
      <c r="V28" s="71">
        <f t="shared" si="1"/>
        <v>2856000.0000000005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</row>
    <row r="29" spans="1:57" ht="13.15" x14ac:dyDescent="0.4">
      <c r="A29" s="46"/>
      <c r="B29" s="46"/>
      <c r="C29" s="47"/>
      <c r="D29" s="48"/>
      <c r="E29" s="48"/>
      <c r="F29" s="48"/>
      <c r="G29" s="48"/>
      <c r="H29" s="48"/>
      <c r="I29" s="64">
        <f>INDEX(Inputs!$J$64:$J$66,MATCH('Scenario A'!J29,Inputs!$D$64:$D$66,0))</f>
        <v>2</v>
      </c>
      <c r="J29" s="96" t="s">
        <v>39</v>
      </c>
      <c r="K29" s="97" t="str">
        <f>'Base Case'!K29</f>
        <v>Pit repair cost</v>
      </c>
      <c r="L29" s="98"/>
      <c r="M29" s="98"/>
      <c r="N29" s="99"/>
      <c r="O29" s="65">
        <v>0</v>
      </c>
      <c r="P29" s="67">
        <v>0</v>
      </c>
      <c r="Q29" s="60">
        <f>'Base Case'!Q29*'Scenario A'!$I$11</f>
        <v>0</v>
      </c>
      <c r="R29" s="60">
        <f>'Base Case'!R29*'Scenario A'!$I$10</f>
        <v>550000</v>
      </c>
      <c r="S29" s="60">
        <f>'Base Case'!S29*'Scenario A'!$I$14</f>
        <v>0</v>
      </c>
      <c r="T29" s="69">
        <f>'Base Case'!$T29</f>
        <v>1</v>
      </c>
      <c r="U29" s="70">
        <f t="shared" si="0"/>
        <v>550000</v>
      </c>
      <c r="V29" s="71">
        <f t="shared" si="1"/>
        <v>550000</v>
      </c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ht="13.15" x14ac:dyDescent="0.4">
      <c r="A30" s="46"/>
      <c r="B30" s="46"/>
      <c r="C30" s="47"/>
      <c r="D30" s="48"/>
      <c r="E30" s="48"/>
      <c r="F30" s="48"/>
      <c r="G30" s="48"/>
      <c r="H30" s="48"/>
      <c r="I30" s="64">
        <f>INDEX(Inputs!$J$64:$J$66,MATCH('Scenario A'!J30,Inputs!$D$64:$D$66,0))</f>
        <v>2</v>
      </c>
      <c r="J30" s="96" t="s">
        <v>39</v>
      </c>
      <c r="K30" s="97" t="str">
        <f>'Base Case'!K30</f>
        <v>Electrical Asset repair</v>
      </c>
      <c r="L30" s="98"/>
      <c r="M30" s="98"/>
      <c r="N30" s="99"/>
      <c r="O30" s="65">
        <v>0</v>
      </c>
      <c r="P30" s="67">
        <v>0</v>
      </c>
      <c r="Q30" s="60">
        <f>'Base Case'!Q30*'Scenario A'!$I$11</f>
        <v>360000</v>
      </c>
      <c r="R30" s="60">
        <f>'Base Case'!R30*'Scenario A'!$I$10</f>
        <v>0</v>
      </c>
      <c r="S30" s="60">
        <f>'Base Case'!S30*'Scenario A'!$I$14</f>
        <v>0</v>
      </c>
      <c r="T30" s="69">
        <f>'Base Case'!$T30</f>
        <v>1</v>
      </c>
      <c r="U30" s="70">
        <f t="shared" si="0"/>
        <v>360000</v>
      </c>
      <c r="V30" s="71">
        <f t="shared" si="1"/>
        <v>360000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</row>
    <row r="31" spans="1:57" ht="13.15" x14ac:dyDescent="0.4">
      <c r="A31" s="46"/>
      <c r="B31" s="46"/>
      <c r="C31" s="47"/>
      <c r="D31" s="48"/>
      <c r="E31" s="48"/>
      <c r="F31" s="48"/>
      <c r="G31" s="48"/>
      <c r="H31" s="48"/>
      <c r="I31" s="64">
        <f>INDEX(Inputs!$J$64:$J$66,MATCH('Scenario A'!J31,Inputs!$D$64:$D$66,0))</f>
        <v>2</v>
      </c>
      <c r="J31" s="96" t="s">
        <v>39</v>
      </c>
      <c r="K31" s="97" t="str">
        <f>'Base Case'!K31</f>
        <v>Damage to telecommunications</v>
      </c>
      <c r="L31" s="98"/>
      <c r="M31" s="98"/>
      <c r="N31" s="99"/>
      <c r="O31" s="65">
        <v>0</v>
      </c>
      <c r="P31" s="67">
        <v>0</v>
      </c>
      <c r="Q31" s="60">
        <f>'Base Case'!Q31*'Scenario A'!$I$11</f>
        <v>450000</v>
      </c>
      <c r="R31" s="60">
        <f>'Base Case'!R31*'Scenario A'!$I$10</f>
        <v>0</v>
      </c>
      <c r="S31" s="60">
        <f>'Base Case'!S31*'Scenario A'!$I$14</f>
        <v>0</v>
      </c>
      <c r="T31" s="69">
        <f>'Base Case'!$T31</f>
        <v>0.2</v>
      </c>
      <c r="U31" s="70">
        <f t="shared" si="0"/>
        <v>90000</v>
      </c>
      <c r="V31" s="71">
        <f t="shared" si="1"/>
        <v>90000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</row>
    <row r="32" spans="1:57" ht="13.15" x14ac:dyDescent="0.4">
      <c r="A32" s="46"/>
      <c r="B32" s="46"/>
      <c r="C32" s="47"/>
      <c r="D32" s="48"/>
      <c r="E32" s="48"/>
      <c r="F32" s="48"/>
      <c r="G32" s="48"/>
      <c r="H32" s="48"/>
      <c r="I32" s="64">
        <f>INDEX(Inputs!$J$64:$J$66,MATCH('Scenario A'!J32,Inputs!$D$64:$D$66,0))</f>
        <v>2</v>
      </c>
      <c r="J32" s="96" t="s">
        <v>39</v>
      </c>
      <c r="K32" s="97" t="str">
        <f>'Base Case'!K32</f>
        <v>[Spare]</v>
      </c>
      <c r="L32" s="98"/>
      <c r="M32" s="98"/>
      <c r="N32" s="99"/>
      <c r="O32" s="65">
        <v>0</v>
      </c>
      <c r="P32" s="67">
        <v>0</v>
      </c>
      <c r="Q32" s="66">
        <f>Inputs!$K$97*$I$11</f>
        <v>0</v>
      </c>
      <c r="R32" s="67">
        <v>0</v>
      </c>
      <c r="S32" s="68">
        <v>0</v>
      </c>
      <c r="T32" s="69">
        <f>'Base Case'!$T32</f>
        <v>0</v>
      </c>
      <c r="U32" s="70">
        <f t="shared" si="0"/>
        <v>0</v>
      </c>
      <c r="V32" s="71">
        <f t="shared" si="1"/>
        <v>0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</row>
    <row r="33" spans="1:57" ht="13.15" x14ac:dyDescent="0.4">
      <c r="A33" s="46"/>
      <c r="B33" s="46"/>
      <c r="C33" s="47"/>
      <c r="D33" s="48"/>
      <c r="E33" s="48"/>
      <c r="F33" s="48"/>
      <c r="G33" s="48"/>
      <c r="H33" s="48"/>
      <c r="I33" s="64">
        <f>INDEX(Inputs!$J$64:$J$66,MATCH('Scenario A'!J33,Inputs!$D$64:$D$66,0))</f>
        <v>2</v>
      </c>
      <c r="J33" s="96" t="s">
        <v>39</v>
      </c>
      <c r="K33" s="97" t="str">
        <f>'Base Case'!K33</f>
        <v>[Spare]</v>
      </c>
      <c r="L33" s="98"/>
      <c r="M33" s="98"/>
      <c r="N33" s="99"/>
      <c r="O33" s="65">
        <v>0</v>
      </c>
      <c r="P33" s="67">
        <v>0</v>
      </c>
      <c r="Q33" s="67">
        <v>0</v>
      </c>
      <c r="R33" s="67">
        <v>0</v>
      </c>
      <c r="S33" s="68">
        <v>0</v>
      </c>
      <c r="T33" s="69">
        <f>'Base Case'!$T33</f>
        <v>0</v>
      </c>
      <c r="U33" s="70">
        <f t="shared" si="0"/>
        <v>0</v>
      </c>
      <c r="V33" s="71">
        <f t="shared" si="1"/>
        <v>0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</row>
    <row r="34" spans="1:57" ht="13.15" x14ac:dyDescent="0.4">
      <c r="A34" s="46"/>
      <c r="B34" s="46"/>
      <c r="C34" s="47"/>
      <c r="D34" s="48"/>
      <c r="E34" s="48"/>
      <c r="F34" s="48"/>
      <c r="G34" s="48"/>
      <c r="H34" s="48"/>
      <c r="I34" s="64">
        <f>INDEX(Inputs!$J$64:$J$66,MATCH('Scenario A'!J34,Inputs!$D$64:$D$66,0))</f>
        <v>2</v>
      </c>
      <c r="J34" s="105" t="s">
        <v>39</v>
      </c>
      <c r="K34" s="106" t="str">
        <f>'Base Case'!K34</f>
        <v>[Spare]</v>
      </c>
      <c r="L34" s="107"/>
      <c r="M34" s="107"/>
      <c r="N34" s="108"/>
      <c r="O34" s="65">
        <v>0</v>
      </c>
      <c r="P34" s="109">
        <v>0</v>
      </c>
      <c r="Q34" s="109">
        <v>0</v>
      </c>
      <c r="R34" s="109">
        <v>0</v>
      </c>
      <c r="S34" s="110">
        <v>0</v>
      </c>
      <c r="T34" s="69">
        <f>'Base Case'!$T34</f>
        <v>0</v>
      </c>
      <c r="U34" s="70">
        <f t="shared" si="0"/>
        <v>0</v>
      </c>
      <c r="V34" s="71">
        <f t="shared" si="1"/>
        <v>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</row>
    <row r="35" spans="1:57" ht="13.15" x14ac:dyDescent="0.4">
      <c r="A35" s="46"/>
      <c r="B35" s="46"/>
      <c r="C35" s="47"/>
      <c r="D35" s="48"/>
      <c r="E35" s="48"/>
      <c r="F35" s="48"/>
      <c r="G35" s="48"/>
      <c r="H35" s="48"/>
      <c r="I35" s="64">
        <f>INDEX(Inputs!$J$64:$J$66,MATCH('Scenario A'!J35,Inputs!$D$64:$D$66,0))</f>
        <v>2</v>
      </c>
      <c r="J35" s="96" t="s">
        <v>39</v>
      </c>
      <c r="K35" s="97" t="str">
        <f>'Base Case'!K35</f>
        <v>[Spare]</v>
      </c>
      <c r="L35" s="98"/>
      <c r="M35" s="98"/>
      <c r="N35" s="99"/>
      <c r="O35" s="65">
        <v>0</v>
      </c>
      <c r="P35" s="67">
        <v>0</v>
      </c>
      <c r="Q35" s="67">
        <v>0</v>
      </c>
      <c r="R35" s="67">
        <v>0</v>
      </c>
      <c r="S35" s="68">
        <v>0</v>
      </c>
      <c r="T35" s="69">
        <f>'Base Case'!$T35</f>
        <v>0</v>
      </c>
      <c r="U35" s="70">
        <f t="shared" si="0"/>
        <v>0</v>
      </c>
      <c r="V35" s="71">
        <f t="shared" si="1"/>
        <v>0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</row>
    <row r="36" spans="1:57" ht="13.15" x14ac:dyDescent="0.4">
      <c r="A36" s="46"/>
      <c r="B36" s="46"/>
      <c r="C36" s="47"/>
      <c r="D36" s="48"/>
      <c r="E36" s="48"/>
      <c r="F36" s="48"/>
      <c r="G36" s="48"/>
      <c r="H36" s="48"/>
      <c r="I36" s="72">
        <f>INDEX(Inputs!$J$64:$J$66,MATCH('Scenario A'!J36,Inputs!$D$64:$D$66,0))</f>
        <v>2</v>
      </c>
      <c r="J36" s="100" t="s">
        <v>39</v>
      </c>
      <c r="K36" s="101" t="str">
        <f>'Base Case'!K36</f>
        <v>[Spare]</v>
      </c>
      <c r="L36" s="102"/>
      <c r="M36" s="102"/>
      <c r="N36" s="103"/>
      <c r="O36" s="73">
        <v>0</v>
      </c>
      <c r="P36" s="74">
        <v>0</v>
      </c>
      <c r="Q36" s="74">
        <v>0</v>
      </c>
      <c r="R36" s="74">
        <v>0</v>
      </c>
      <c r="S36" s="75">
        <v>0</v>
      </c>
      <c r="T36" s="117">
        <f>'Base Case'!$T36</f>
        <v>0</v>
      </c>
      <c r="U36" s="76">
        <f t="shared" si="0"/>
        <v>0</v>
      </c>
      <c r="V36" s="77">
        <f t="shared" si="1"/>
        <v>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</row>
    <row r="37" spans="1:57" ht="13.15" x14ac:dyDescent="0.4">
      <c r="A37" s="46"/>
      <c r="B37" s="46"/>
      <c r="C37" s="47"/>
      <c r="D37" s="48"/>
      <c r="E37" s="48"/>
      <c r="F37" s="48"/>
      <c r="G37" s="48"/>
      <c r="H37" s="48"/>
      <c r="I37" s="59">
        <f>INDEX(Inputs!$J$64:$J$66,MATCH('Scenario A'!J37,Inputs!$D$64:$D$66,0))</f>
        <v>1</v>
      </c>
      <c r="J37" s="92" t="s">
        <v>38</v>
      </c>
      <c r="K37" s="93" t="str">
        <f>'Base Case'!K37</f>
        <v>Safety consequence - pulling eyes</v>
      </c>
      <c r="L37" s="94"/>
      <c r="M37" s="94"/>
      <c r="N37" s="95"/>
      <c r="O37" s="60">
        <f>'Base Case'!O37*'Scenario A'!$I$13</f>
        <v>0</v>
      </c>
      <c r="P37" s="66">
        <f>'Base Case'!P37</f>
        <v>500000</v>
      </c>
      <c r="Q37" s="60">
        <f>'Base Case'!Q37*'Scenario A'!$I$11</f>
        <v>0</v>
      </c>
      <c r="R37" s="60">
        <f>'Base Case'!R37*'Scenario A'!$I$10</f>
        <v>0</v>
      </c>
      <c r="S37" s="60">
        <f>'Base Case'!S37*'Scenario A'!$I$14</f>
        <v>0</v>
      </c>
      <c r="T37" s="116">
        <f>'Base Case'!$T37</f>
        <v>0.5</v>
      </c>
      <c r="U37" s="60">
        <f t="shared" si="0"/>
        <v>250000</v>
      </c>
      <c r="V37" s="63">
        <f t="shared" si="1"/>
        <v>250000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</row>
    <row r="38" spans="1:57" ht="13.15" x14ac:dyDescent="0.4">
      <c r="A38" s="46"/>
      <c r="B38" s="46"/>
      <c r="C38" s="47"/>
      <c r="D38" s="48"/>
      <c r="E38" s="48"/>
      <c r="F38" s="48"/>
      <c r="G38" s="48"/>
      <c r="H38" s="48"/>
      <c r="I38" s="72">
        <f>INDEX(Inputs!$J$64:$J$66,MATCH('Scenario A'!J38,Inputs!$D$64:$D$66,0))</f>
        <v>1</v>
      </c>
      <c r="J38" s="100" t="s">
        <v>38</v>
      </c>
      <c r="K38" s="101" t="str">
        <f>'Base Case'!K38</f>
        <v>Pit section repair cost</v>
      </c>
      <c r="L38" s="102"/>
      <c r="M38" s="102"/>
      <c r="N38" s="103"/>
      <c r="O38" s="73">
        <v>0</v>
      </c>
      <c r="P38" s="74">
        <v>0</v>
      </c>
      <c r="Q38" s="76">
        <f>'Base Case'!Q38*'Scenario A'!$I$11</f>
        <v>0</v>
      </c>
      <c r="R38" s="76">
        <f>'Base Case'!R38*'Scenario A'!$I$10</f>
        <v>55000.000000000007</v>
      </c>
      <c r="S38" s="76">
        <f>'Base Case'!S38*'Scenario A'!$I$14</f>
        <v>0</v>
      </c>
      <c r="T38" s="117">
        <f>'Base Case'!$T38</f>
        <v>1</v>
      </c>
      <c r="U38" s="76">
        <f t="shared" si="0"/>
        <v>55000.000000000007</v>
      </c>
      <c r="V38" s="77">
        <f t="shared" si="1"/>
        <v>55000.000000000007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</row>
    <row r="39" spans="1:57" ht="13.15" x14ac:dyDescent="0.4">
      <c r="A39" s="46"/>
      <c r="B39" s="46"/>
      <c r="C39" s="47"/>
      <c r="D39" s="48"/>
      <c r="E39" s="48"/>
      <c r="F39" s="48"/>
      <c r="G39" s="48"/>
      <c r="H39" s="48"/>
      <c r="I39" s="59">
        <f>INDEX(Inputs!$J$64:$J$66,MATCH('Scenario A'!J39,Inputs!$D$64:$D$66,0))</f>
        <v>1</v>
      </c>
      <c r="J39" s="92" t="s">
        <v>38</v>
      </c>
      <c r="K39" s="93" t="str">
        <f>'Base Case'!K39</f>
        <v>Safety consequence - ladder supports</v>
      </c>
      <c r="L39" s="94"/>
      <c r="M39" s="94"/>
      <c r="N39" s="95"/>
      <c r="O39" s="145">
        <v>0</v>
      </c>
      <c r="P39" s="66">
        <f>'Base Case'!P39</f>
        <v>500000</v>
      </c>
      <c r="Q39" s="60">
        <f>'Base Case'!Q39*'Scenario A'!$I$11</f>
        <v>0</v>
      </c>
      <c r="R39" s="60">
        <f>'Base Case'!R39*'Scenario A'!$I$10</f>
        <v>0</v>
      </c>
      <c r="S39" s="60">
        <f>'Base Case'!S39*'Scenario A'!$I$14</f>
        <v>0</v>
      </c>
      <c r="T39" s="116">
        <f>'Base Case'!$T39</f>
        <v>0.8</v>
      </c>
      <c r="U39" s="60">
        <f t="shared" si="0"/>
        <v>400000</v>
      </c>
      <c r="V39" s="63">
        <f t="shared" si="1"/>
        <v>400000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</row>
    <row r="40" spans="1:57" ht="13.15" x14ac:dyDescent="0.4">
      <c r="A40" s="46"/>
      <c r="B40" s="46"/>
      <c r="C40" s="47"/>
      <c r="D40" s="48"/>
      <c r="E40" s="48"/>
      <c r="F40" s="48"/>
      <c r="G40" s="48"/>
      <c r="H40" s="48"/>
      <c r="I40" s="64">
        <f>INDEX(Inputs!$J$64:$J$66,MATCH('Scenario A'!J40,Inputs!$D$64:$D$66,0))</f>
        <v>1</v>
      </c>
      <c r="J40" s="96" t="s">
        <v>38</v>
      </c>
      <c r="K40" s="97" t="str">
        <f>'Base Case'!K40</f>
        <v>Pit section repair cost</v>
      </c>
      <c r="L40" s="98"/>
      <c r="M40" s="98"/>
      <c r="N40" s="99"/>
      <c r="O40" s="65">
        <v>0</v>
      </c>
      <c r="P40" s="67">
        <v>0</v>
      </c>
      <c r="Q40" s="60">
        <f>'Base Case'!Q40*'Scenario A'!$I$11</f>
        <v>0</v>
      </c>
      <c r="R40" s="60">
        <f>'Base Case'!R40*'Scenario A'!$I$10</f>
        <v>55000.000000000007</v>
      </c>
      <c r="S40" s="60">
        <f>'Base Case'!S40*'Scenario A'!$I$14</f>
        <v>0</v>
      </c>
      <c r="T40" s="69">
        <f>'Base Case'!$T40</f>
        <v>1</v>
      </c>
      <c r="U40" s="70">
        <f t="shared" si="0"/>
        <v>55000.000000000007</v>
      </c>
      <c r="V40" s="71">
        <f t="shared" si="1"/>
        <v>55000.000000000007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</row>
    <row r="41" spans="1:57" ht="13.15" x14ac:dyDescent="0.4">
      <c r="A41" s="46"/>
      <c r="B41" s="46"/>
      <c r="C41" s="47"/>
      <c r="D41" s="48"/>
      <c r="E41" s="48"/>
      <c r="F41" s="48"/>
      <c r="G41" s="48"/>
      <c r="H41" s="48"/>
      <c r="I41" s="64">
        <f>INDEX(Inputs!$J$64:$J$66,MATCH('Scenario A'!J41,Inputs!$D$64:$D$66,0))</f>
        <v>1</v>
      </c>
      <c r="J41" s="96" t="s">
        <v>38</v>
      </c>
      <c r="K41" s="97" t="str">
        <f>'Base Case'!K41</f>
        <v>[Spare]</v>
      </c>
      <c r="L41" s="98"/>
      <c r="M41" s="98"/>
      <c r="N41" s="99"/>
      <c r="O41" s="65">
        <v>0</v>
      </c>
      <c r="P41" s="67">
        <v>0</v>
      </c>
      <c r="Q41" s="60">
        <f>'Base Case'!Q41*'Scenario A'!$I$11</f>
        <v>0</v>
      </c>
      <c r="R41" s="60">
        <f>'Base Case'!R41*'Scenario A'!$I$10</f>
        <v>0</v>
      </c>
      <c r="S41" s="60">
        <f>'Base Case'!S41*'Scenario A'!$I$14</f>
        <v>0</v>
      </c>
      <c r="T41" s="69">
        <f>'Base Case'!$T41</f>
        <v>0</v>
      </c>
      <c r="U41" s="70">
        <f t="shared" si="0"/>
        <v>0</v>
      </c>
      <c r="V41" s="71">
        <f t="shared" si="1"/>
        <v>0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</row>
    <row r="42" spans="1:57" ht="13.15" x14ac:dyDescent="0.4">
      <c r="A42" s="46"/>
      <c r="B42" s="46"/>
      <c r="C42" s="47"/>
      <c r="D42" s="48"/>
      <c r="E42" s="48"/>
      <c r="F42" s="48"/>
      <c r="G42" s="48"/>
      <c r="H42" s="48"/>
      <c r="I42" s="64">
        <f>INDEX(Inputs!$J$64:$J$66,MATCH('Scenario A'!J42,Inputs!$D$64:$D$66,0))</f>
        <v>1</v>
      </c>
      <c r="J42" s="96" t="s">
        <v>38</v>
      </c>
      <c r="K42" s="97" t="str">
        <f>'Base Case'!K42</f>
        <v>[Spare]</v>
      </c>
      <c r="L42" s="98"/>
      <c r="M42" s="98"/>
      <c r="N42" s="99"/>
      <c r="O42" s="65">
        <v>0</v>
      </c>
      <c r="P42" s="67">
        <v>0</v>
      </c>
      <c r="Q42" s="66">
        <f>Inputs!$K$97*$I$11</f>
        <v>0</v>
      </c>
      <c r="R42" s="67">
        <v>0</v>
      </c>
      <c r="S42" s="68">
        <v>0</v>
      </c>
      <c r="T42" s="69">
        <f>'Base Case'!$T42</f>
        <v>0</v>
      </c>
      <c r="U42" s="70">
        <f t="shared" si="0"/>
        <v>0</v>
      </c>
      <c r="V42" s="71">
        <f t="shared" si="1"/>
        <v>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</row>
    <row r="43" spans="1:57" ht="13.15" x14ac:dyDescent="0.4">
      <c r="A43" s="46"/>
      <c r="B43" s="46"/>
      <c r="C43" s="47"/>
      <c r="D43" s="48"/>
      <c r="E43" s="48"/>
      <c r="F43" s="48"/>
      <c r="G43" s="48"/>
      <c r="H43" s="48"/>
      <c r="I43" s="64">
        <f>INDEX(Inputs!$J$64:$J$66,MATCH('Scenario A'!J43,Inputs!$D$64:$D$66,0))</f>
        <v>1</v>
      </c>
      <c r="J43" s="96" t="s">
        <v>38</v>
      </c>
      <c r="K43" s="97" t="str">
        <f>'Base Case'!K43</f>
        <v>[Spare]</v>
      </c>
      <c r="L43" s="98"/>
      <c r="M43" s="98"/>
      <c r="N43" s="99"/>
      <c r="O43" s="65">
        <v>0</v>
      </c>
      <c r="P43" s="67">
        <v>0</v>
      </c>
      <c r="Q43" s="67">
        <v>0</v>
      </c>
      <c r="R43" s="67">
        <v>0</v>
      </c>
      <c r="S43" s="68">
        <v>0</v>
      </c>
      <c r="T43" s="69">
        <f>'Base Case'!$T43</f>
        <v>0</v>
      </c>
      <c r="U43" s="70">
        <f t="shared" si="0"/>
        <v>0</v>
      </c>
      <c r="V43" s="71">
        <f t="shared" si="1"/>
        <v>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</row>
    <row r="44" spans="1:57" ht="13.15" x14ac:dyDescent="0.4">
      <c r="A44" s="46"/>
      <c r="B44" s="46"/>
      <c r="C44" s="47"/>
      <c r="D44" s="48"/>
      <c r="E44" s="48"/>
      <c r="F44" s="48"/>
      <c r="G44" s="48"/>
      <c r="H44" s="48"/>
      <c r="I44" s="64">
        <f>INDEX(Inputs!$J$64:$J$66,MATCH('Scenario A'!J44,Inputs!$D$64:$D$66,0))</f>
        <v>1</v>
      </c>
      <c r="J44" s="105" t="s">
        <v>38</v>
      </c>
      <c r="K44" s="106" t="str">
        <f>'Base Case'!K44</f>
        <v>[Spare]</v>
      </c>
      <c r="L44" s="107"/>
      <c r="M44" s="107"/>
      <c r="N44" s="108"/>
      <c r="O44" s="65">
        <v>0</v>
      </c>
      <c r="P44" s="109">
        <v>0</v>
      </c>
      <c r="Q44" s="109">
        <v>0</v>
      </c>
      <c r="R44" s="109">
        <v>0</v>
      </c>
      <c r="S44" s="110">
        <v>0</v>
      </c>
      <c r="T44" s="69">
        <f>'Base Case'!$T44</f>
        <v>0</v>
      </c>
      <c r="U44" s="70">
        <f t="shared" si="0"/>
        <v>0</v>
      </c>
      <c r="V44" s="71">
        <f t="shared" si="1"/>
        <v>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</row>
    <row r="45" spans="1:57" ht="13.15" x14ac:dyDescent="0.4">
      <c r="A45" s="46"/>
      <c r="B45" s="46"/>
      <c r="C45" s="47"/>
      <c r="D45" s="48"/>
      <c r="E45" s="48"/>
      <c r="F45" s="48"/>
      <c r="G45" s="48"/>
      <c r="H45" s="48"/>
      <c r="I45" s="64">
        <f>INDEX(Inputs!$J$64:$J$66,MATCH('Scenario A'!J45,Inputs!$D$64:$D$66,0))</f>
        <v>1</v>
      </c>
      <c r="J45" s="96" t="s">
        <v>38</v>
      </c>
      <c r="K45" s="97" t="str">
        <f>'Base Case'!K45</f>
        <v>[Spare]</v>
      </c>
      <c r="L45" s="98"/>
      <c r="M45" s="98"/>
      <c r="N45" s="99"/>
      <c r="O45" s="65">
        <v>0</v>
      </c>
      <c r="P45" s="67">
        <v>0</v>
      </c>
      <c r="Q45" s="67">
        <v>0</v>
      </c>
      <c r="R45" s="67">
        <v>0</v>
      </c>
      <c r="S45" s="68">
        <v>0</v>
      </c>
      <c r="T45" s="69">
        <f>'Base Case'!$T45</f>
        <v>0</v>
      </c>
      <c r="U45" s="70">
        <f t="shared" si="0"/>
        <v>0</v>
      </c>
      <c r="V45" s="71">
        <f t="shared" si="1"/>
        <v>0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</row>
    <row r="46" spans="1:57" ht="13.15" x14ac:dyDescent="0.4">
      <c r="A46" s="46"/>
      <c r="B46" s="46"/>
      <c r="C46" s="47"/>
      <c r="D46" s="48"/>
      <c r="E46" s="48"/>
      <c r="F46" s="48"/>
      <c r="G46" s="48"/>
      <c r="H46" s="48"/>
      <c r="I46" s="72">
        <f>INDEX(Inputs!$J$64:$J$66,MATCH('Scenario A'!J46,Inputs!$D$64:$D$66,0))</f>
        <v>1</v>
      </c>
      <c r="J46" s="100" t="s">
        <v>38</v>
      </c>
      <c r="K46" s="101" t="str">
        <f>'Base Case'!K46</f>
        <v>[Spare]</v>
      </c>
      <c r="L46" s="102"/>
      <c r="M46" s="102"/>
      <c r="N46" s="103"/>
      <c r="O46" s="73">
        <v>0</v>
      </c>
      <c r="P46" s="74">
        <v>0</v>
      </c>
      <c r="Q46" s="74">
        <v>0</v>
      </c>
      <c r="R46" s="74">
        <v>0</v>
      </c>
      <c r="S46" s="75">
        <v>0</v>
      </c>
      <c r="T46" s="117">
        <f>'Base Case'!$T46</f>
        <v>0</v>
      </c>
      <c r="U46" s="76">
        <f t="shared" si="0"/>
        <v>0</v>
      </c>
      <c r="V46" s="77">
        <f t="shared" si="1"/>
        <v>0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</row>
    <row r="47" spans="1:57" ht="13.15" x14ac:dyDescent="0.4">
      <c r="A47" s="46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</row>
    <row r="48" spans="1:57" ht="13.15" x14ac:dyDescent="0.4">
      <c r="A48" s="46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7" ht="13.15" x14ac:dyDescent="0.4">
      <c r="A49" s="46"/>
      <c r="B49" s="46"/>
      <c r="C49" s="47"/>
      <c r="D49" s="48"/>
      <c r="E49" s="48"/>
      <c r="F49" s="48"/>
      <c r="G49" s="48"/>
      <c r="H49" s="48"/>
      <c r="I49" s="78">
        <f>INDEX(Inputs!$J$64:$J$66,MATCH('Scenario A'!J49,Inputs!$D$64:$D$66,0))</f>
        <v>1</v>
      </c>
      <c r="J49" s="79" t="s">
        <v>38</v>
      </c>
      <c r="K49" s="48"/>
      <c r="L49" s="48"/>
      <c r="M49" s="48"/>
      <c r="N49" s="48"/>
      <c r="O49" s="66">
        <f>SUMIF($I$17:$I$46,$I49,O$17:O$46)</f>
        <v>0</v>
      </c>
      <c r="P49" s="66">
        <f t="shared" ref="P49:V49" si="2">SUMIF($I$17:$I$46,$I49,P$17:P$46)</f>
        <v>1000000</v>
      </c>
      <c r="Q49" s="66">
        <f t="shared" si="2"/>
        <v>0</v>
      </c>
      <c r="R49" s="66">
        <f t="shared" si="2"/>
        <v>110000.00000000001</v>
      </c>
      <c r="S49" s="66">
        <f t="shared" si="2"/>
        <v>0</v>
      </c>
      <c r="T49" s="53">
        <f>U49/SUM(O49:S49)</f>
        <v>0.68468468468468469</v>
      </c>
      <c r="U49" s="66">
        <f t="shared" si="2"/>
        <v>760000</v>
      </c>
      <c r="V49" s="66">
        <f t="shared" si="2"/>
        <v>760000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</row>
    <row r="50" spans="1:57" ht="13.15" x14ac:dyDescent="0.4">
      <c r="A50" s="46"/>
      <c r="B50" s="46"/>
      <c r="C50" s="47"/>
      <c r="D50" s="48"/>
      <c r="E50" s="48"/>
      <c r="F50" s="48"/>
      <c r="G50" s="48"/>
      <c r="H50" s="48"/>
      <c r="I50" s="78">
        <f>INDEX(Inputs!$J$64:$J$66,MATCH('Scenario A'!J50,Inputs!$D$64:$D$66,0))</f>
        <v>2</v>
      </c>
      <c r="J50" s="79" t="s">
        <v>39</v>
      </c>
      <c r="K50" s="48"/>
      <c r="L50" s="48"/>
      <c r="M50" s="48"/>
      <c r="N50" s="48"/>
      <c r="O50" s="66">
        <f t="shared" ref="O50:V51" si="3">SUMIF($I$17:$I$46,$I50,O$17:O$46)</f>
        <v>450000</v>
      </c>
      <c r="P50" s="66">
        <f t="shared" si="3"/>
        <v>14280000.000000002</v>
      </c>
      <c r="Q50" s="66">
        <f t="shared" si="3"/>
        <v>810000</v>
      </c>
      <c r="R50" s="66">
        <f t="shared" si="3"/>
        <v>550000</v>
      </c>
      <c r="S50" s="66">
        <f t="shared" si="3"/>
        <v>0</v>
      </c>
      <c r="T50" s="53">
        <f t="shared" ref="T50:T51" si="4">U50/SUM(O50:S50)</f>
        <v>0.26761963952765688</v>
      </c>
      <c r="U50" s="66">
        <f t="shared" si="3"/>
        <v>4306000</v>
      </c>
      <c r="V50" s="66">
        <f t="shared" si="3"/>
        <v>3856000.0000000005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</row>
    <row r="51" spans="1:57" ht="13.15" x14ac:dyDescent="0.4">
      <c r="A51" s="46"/>
      <c r="B51" s="46"/>
      <c r="C51" s="47"/>
      <c r="D51" s="48"/>
      <c r="E51" s="48"/>
      <c r="F51" s="48"/>
      <c r="G51" s="48"/>
      <c r="H51" s="48"/>
      <c r="I51" s="78">
        <f>INDEX(Inputs!$J$64:$J$66,MATCH('Scenario A'!J51,Inputs!$D$64:$D$66,0))</f>
        <v>3</v>
      </c>
      <c r="J51" s="79" t="s">
        <v>40</v>
      </c>
      <c r="K51" s="80"/>
      <c r="L51" s="80"/>
      <c r="M51" s="80"/>
      <c r="N51" s="80"/>
      <c r="O51" s="66">
        <f t="shared" si="3"/>
        <v>450000</v>
      </c>
      <c r="P51" s="66">
        <f t="shared" si="3"/>
        <v>14280000.000000002</v>
      </c>
      <c r="Q51" s="66">
        <f t="shared" si="3"/>
        <v>810000</v>
      </c>
      <c r="R51" s="66">
        <f t="shared" si="3"/>
        <v>550000</v>
      </c>
      <c r="S51" s="66">
        <f t="shared" si="3"/>
        <v>0</v>
      </c>
      <c r="T51" s="53">
        <f t="shared" si="4"/>
        <v>0.26761963952765688</v>
      </c>
      <c r="U51" s="66">
        <f t="shared" si="3"/>
        <v>4306000</v>
      </c>
      <c r="V51" s="66">
        <f t="shared" si="3"/>
        <v>3856000.0000000005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</row>
    <row r="52" spans="1:57" ht="13.15" x14ac:dyDescent="0.4">
      <c r="A52" s="46"/>
      <c r="B52" s="46"/>
      <c r="C52" s="47"/>
      <c r="D52" s="48"/>
      <c r="E52" s="48"/>
      <c r="F52" s="48"/>
      <c r="G52" s="48"/>
      <c r="H52" s="48"/>
      <c r="I52" s="80" t="s">
        <v>161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>
        <f>SUM(U49:U51)</f>
        <v>9372000</v>
      </c>
      <c r="V52" s="81">
        <f>SUM(V49:V51)</f>
        <v>8472000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</row>
    <row r="53" spans="1:57" x14ac:dyDescent="0.2">
      <c r="A53" s="46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</row>
    <row r="54" spans="1:57" x14ac:dyDescent="0.2">
      <c r="A54" s="49" t="str">
        <f>C8&amp;" "&amp;I8&amp;": PoE, Load and VCR assumptions"</f>
        <v>Scenario A: PoE, Load and VCR assumptions</v>
      </c>
      <c r="B54" s="49"/>
      <c r="C54" s="50"/>
      <c r="D54" s="51"/>
      <c r="E54" s="51"/>
      <c r="F54" s="51"/>
      <c r="G54" s="51"/>
      <c r="H54" s="51"/>
      <c r="I54" s="51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</row>
    <row r="55" spans="1:57" x14ac:dyDescent="0.2">
      <c r="A55" s="46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</row>
    <row r="56" spans="1:57" x14ac:dyDescent="0.2">
      <c r="A56" s="46"/>
      <c r="B56" s="46" t="s">
        <v>50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</row>
    <row r="57" spans="1:57" x14ac:dyDescent="0.2">
      <c r="A57" s="46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</row>
    <row r="58" spans="1:57" x14ac:dyDescent="0.2">
      <c r="A58" s="46"/>
      <c r="B58" s="46"/>
      <c r="C58" s="47" t="s">
        <v>51</v>
      </c>
      <c r="D58" s="48"/>
      <c r="E58" s="48"/>
      <c r="F58" s="48"/>
      <c r="G58" s="48"/>
      <c r="H58" s="48"/>
      <c r="I58" s="48"/>
      <c r="J58" s="82">
        <f>Inputs!J79</f>
        <v>1</v>
      </c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</row>
    <row r="59" spans="1:57" x14ac:dyDescent="0.2">
      <c r="A59" s="46"/>
      <c r="B59" s="46"/>
      <c r="C59" s="47" t="s">
        <v>52</v>
      </c>
      <c r="D59" s="48"/>
      <c r="E59" s="48"/>
      <c r="F59" s="48"/>
      <c r="G59" s="48"/>
      <c r="H59" s="48"/>
      <c r="I59" s="48"/>
      <c r="J59" s="66">
        <f>Inputs!J80</f>
        <v>0</v>
      </c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</row>
    <row r="60" spans="1:57" x14ac:dyDescent="0.2">
      <c r="A60" s="46"/>
      <c r="B60" s="46"/>
      <c r="C60" s="47"/>
      <c r="D60" s="48" t="s">
        <v>53</v>
      </c>
      <c r="E60" s="48"/>
      <c r="F60" s="48"/>
      <c r="G60" s="48"/>
      <c r="H60" s="48"/>
      <c r="I60" s="48"/>
      <c r="J60" s="66">
        <f>Inputs!J81</f>
        <v>0</v>
      </c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</row>
    <row r="61" spans="1:57" x14ac:dyDescent="0.2">
      <c r="A61" s="46"/>
      <c r="B61" s="46"/>
      <c r="C61" s="47"/>
      <c r="D61" s="48" t="s">
        <v>54</v>
      </c>
      <c r="E61" s="48"/>
      <c r="F61" s="48"/>
      <c r="G61" s="48"/>
      <c r="H61" s="48"/>
      <c r="I61" s="48"/>
      <c r="J61" s="66">
        <f>Inputs!J82</f>
        <v>0</v>
      </c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</row>
    <row r="62" spans="1:57" x14ac:dyDescent="0.2">
      <c r="A62" s="46"/>
      <c r="B62" s="46"/>
      <c r="C62" s="47"/>
      <c r="D62" s="48" t="s">
        <v>55</v>
      </c>
      <c r="E62" s="48"/>
      <c r="F62" s="48"/>
      <c r="G62" s="48"/>
      <c r="H62" s="48"/>
      <c r="I62" s="48"/>
      <c r="J62" s="66">
        <f>Inputs!J83</f>
        <v>0</v>
      </c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</row>
    <row r="63" spans="1:57" x14ac:dyDescent="0.2">
      <c r="A63" s="46"/>
      <c r="B63" s="46"/>
      <c r="C63" s="47"/>
      <c r="D63" s="48" t="s">
        <v>56</v>
      </c>
      <c r="E63" s="48"/>
      <c r="F63" s="48"/>
      <c r="G63" s="48"/>
      <c r="H63" s="48"/>
      <c r="I63" s="48"/>
      <c r="J63" s="66">
        <f>Inputs!J84</f>
        <v>0</v>
      </c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</row>
    <row r="64" spans="1:57" x14ac:dyDescent="0.2">
      <c r="A64" s="46"/>
      <c r="B64" s="46"/>
      <c r="C64" s="47"/>
      <c r="D64" s="80" t="s">
        <v>57</v>
      </c>
      <c r="E64" s="80"/>
      <c r="F64" s="80"/>
      <c r="G64" s="80"/>
      <c r="H64" s="80"/>
      <c r="I64" s="80"/>
      <c r="J64" s="66">
        <f>Inputs!J85</f>
        <v>0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</row>
    <row r="65" spans="1:57" x14ac:dyDescent="0.2">
      <c r="A65" s="46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</row>
    <row r="66" spans="1:57" x14ac:dyDescent="0.2">
      <c r="A66" s="46"/>
      <c r="B66" s="46" t="str">
        <f>Inputs!B182</f>
        <v>Probability of exceedance (PoE) forecast, Mega Volt Ampere (MVA)</v>
      </c>
      <c r="C66" s="47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</row>
    <row r="67" spans="1:57" x14ac:dyDescent="0.2">
      <c r="A67" s="46"/>
      <c r="B67" s="46"/>
      <c r="C67" s="47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x14ac:dyDescent="0.2">
      <c r="A68" s="46"/>
      <c r="B68" s="46"/>
      <c r="C68" s="47" t="str">
        <f>Inputs!C184</f>
        <v>PoE forecast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</row>
    <row r="69" spans="1:57" x14ac:dyDescent="0.2">
      <c r="A69" s="46"/>
      <c r="B69" s="46"/>
      <c r="C69" s="47"/>
      <c r="D69" s="48" t="str">
        <f>Inputs!D185</f>
        <v>10% PoE forecast, MVA</v>
      </c>
      <c r="E69" s="48"/>
      <c r="F69" s="48"/>
      <c r="G69" s="48"/>
      <c r="H69" s="48"/>
      <c r="I69" s="48"/>
      <c r="J69" s="83">
        <f>Inputs!J185</f>
        <v>0.1</v>
      </c>
      <c r="K69" s="48"/>
      <c r="L69" s="48"/>
      <c r="M69" s="48"/>
      <c r="N69" s="48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</row>
    <row r="70" spans="1:57" x14ac:dyDescent="0.2">
      <c r="A70" s="46"/>
      <c r="B70" s="46"/>
      <c r="C70" s="47"/>
      <c r="D70" s="80" t="str">
        <f>Inputs!D186</f>
        <v>50% PoE forecast, MVA</v>
      </c>
      <c r="E70" s="80"/>
      <c r="F70" s="80"/>
      <c r="G70" s="80"/>
      <c r="H70" s="80"/>
      <c r="I70" s="80"/>
      <c r="J70" s="83">
        <f>Inputs!J186</f>
        <v>0.5</v>
      </c>
      <c r="K70" s="80"/>
      <c r="L70" s="80"/>
      <c r="M70" s="80"/>
      <c r="N70" s="8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</row>
    <row r="71" spans="1:57" x14ac:dyDescent="0.2">
      <c r="A71" s="46"/>
      <c r="B71" s="46"/>
      <c r="C71" s="47"/>
      <c r="D71" s="48" t="str">
        <f>Inputs!D187</f>
        <v>Selected</v>
      </c>
      <c r="E71" s="48"/>
      <c r="F71" s="48"/>
      <c r="G71" s="48"/>
      <c r="H71" s="48"/>
      <c r="I71" s="48"/>
      <c r="J71" s="84">
        <f>Inputs!J187</f>
        <v>0.7</v>
      </c>
      <c r="K71" s="48"/>
      <c r="L71" s="48"/>
      <c r="M71" s="48"/>
      <c r="N71" s="48"/>
      <c r="O71" s="66">
        <f>Inputs!O187*$I$12</f>
        <v>0</v>
      </c>
      <c r="P71" s="66">
        <f>Inputs!P187*$I$12</f>
        <v>0</v>
      </c>
      <c r="Q71" s="66">
        <f>Inputs!Q187*$I$12</f>
        <v>0</v>
      </c>
      <c r="R71" s="66">
        <f>Inputs!R187*$I$12</f>
        <v>0</v>
      </c>
      <c r="S71" s="66">
        <f>Inputs!S187*$I$12</f>
        <v>0</v>
      </c>
      <c r="T71" s="66">
        <f>Inputs!T187*$I$12</f>
        <v>0</v>
      </c>
      <c r="U71" s="66">
        <f>Inputs!U187*$I$12</f>
        <v>0</v>
      </c>
      <c r="V71" s="66">
        <f>Inputs!V187*$I$12</f>
        <v>0</v>
      </c>
      <c r="W71" s="66">
        <f>Inputs!W187*$I$12</f>
        <v>0</v>
      </c>
      <c r="X71" s="66">
        <f>Inputs!X187*$I$12</f>
        <v>0</v>
      </c>
      <c r="Y71" s="66">
        <f>Inputs!Y187*$I$12</f>
        <v>0</v>
      </c>
      <c r="Z71" s="66">
        <f>Inputs!Z187*$I$12</f>
        <v>0</v>
      </c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</row>
    <row r="72" spans="1:57" x14ac:dyDescent="0.2">
      <c r="A72" s="46"/>
      <c r="B72" s="46"/>
      <c r="C72" s="47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</row>
    <row r="73" spans="1:57" x14ac:dyDescent="0.2">
      <c r="A73" s="46"/>
      <c r="B73" s="46" t="str">
        <f>Inputs!B189</f>
        <v>Load at risk</v>
      </c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</row>
    <row r="74" spans="1:57" x14ac:dyDescent="0.2">
      <c r="A74" s="46"/>
      <c r="B74" s="46"/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</row>
    <row r="75" spans="1:57" x14ac:dyDescent="0.2">
      <c r="A75" s="46"/>
      <c r="B75" s="46"/>
      <c r="C75" s="47" t="str">
        <f>Inputs!C191</f>
        <v>Selected profile, MVA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</row>
    <row r="76" spans="1:57" x14ac:dyDescent="0.2">
      <c r="A76" s="46"/>
      <c r="B76" s="46"/>
      <c r="C76" s="47"/>
      <c r="D76" s="48" t="s">
        <v>141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</row>
    <row r="77" spans="1:57" x14ac:dyDescent="0.2">
      <c r="A77" s="46"/>
      <c r="B77" s="46"/>
      <c r="C77" s="47"/>
      <c r="D77" s="48" t="s">
        <v>142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</row>
    <row r="78" spans="1:57" x14ac:dyDescent="0.2">
      <c r="A78" s="46"/>
      <c r="B78" s="46"/>
      <c r="C78" s="47"/>
      <c r="D78" s="48" t="s">
        <v>143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</row>
    <row r="79" spans="1:57" x14ac:dyDescent="0.2">
      <c r="A79" s="46"/>
      <c r="B79" s="46"/>
      <c r="C79" s="47"/>
      <c r="D79" s="48" t="s">
        <v>144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</row>
    <row r="80" spans="1:57" x14ac:dyDescent="0.2">
      <c r="A80" s="46"/>
      <c r="B80" s="46"/>
      <c r="C80" s="47"/>
      <c r="D80" s="80" t="s">
        <v>145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</row>
    <row r="81" spans="1:57" x14ac:dyDescent="0.2">
      <c r="A81" s="46"/>
      <c r="B81" s="46"/>
      <c r="C81" s="47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</row>
    <row r="82" spans="1:57" x14ac:dyDescent="0.2">
      <c r="A82" s="46"/>
      <c r="B82" s="46" t="s">
        <v>162</v>
      </c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</row>
    <row r="83" spans="1:57" x14ac:dyDescent="0.2">
      <c r="A83" s="46"/>
      <c r="B83" s="46"/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</row>
    <row r="84" spans="1:57" x14ac:dyDescent="0.2">
      <c r="A84" s="46"/>
      <c r="B84" s="46"/>
      <c r="C84" s="47" t="s">
        <v>163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</row>
    <row r="85" spans="1:57" x14ac:dyDescent="0.2">
      <c r="A85" s="46"/>
      <c r="B85" s="46"/>
      <c r="C85" s="47"/>
      <c r="D85" s="48"/>
      <c r="E85" s="48" t="s">
        <v>164</v>
      </c>
      <c r="F85" s="48"/>
      <c r="G85" s="48"/>
      <c r="H85" s="48"/>
      <c r="I85" s="48"/>
      <c r="J85" s="48"/>
      <c r="K85" s="48"/>
      <c r="L85" s="48"/>
      <c r="M85" s="48"/>
      <c r="N85" s="48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</row>
    <row r="86" spans="1:57" x14ac:dyDescent="0.2">
      <c r="A86" s="46"/>
      <c r="B86" s="46"/>
      <c r="C86" s="47"/>
      <c r="D86" s="48"/>
      <c r="E86" s="80" t="s">
        <v>165</v>
      </c>
      <c r="F86" s="80"/>
      <c r="G86" s="80"/>
      <c r="H86" s="80"/>
      <c r="I86" s="80"/>
      <c r="J86" s="80"/>
      <c r="K86" s="80"/>
      <c r="L86" s="80"/>
      <c r="M86" s="80"/>
      <c r="N86" s="8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</row>
    <row r="87" spans="1:57" x14ac:dyDescent="0.2">
      <c r="A87" s="46"/>
      <c r="B87" s="46"/>
      <c r="C87" s="47"/>
      <c r="D87" s="85" t="str">
        <f>D76</f>
        <v>N</v>
      </c>
      <c r="E87" s="85" t="s">
        <v>163</v>
      </c>
      <c r="F87" s="85"/>
      <c r="G87" s="85"/>
      <c r="H87" s="85"/>
      <c r="I87" s="85"/>
      <c r="J87" s="85"/>
      <c r="K87" s="85"/>
      <c r="L87" s="85"/>
      <c r="M87" s="85"/>
      <c r="N87" s="85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</row>
    <row r="88" spans="1:57" x14ac:dyDescent="0.2">
      <c r="A88" s="46"/>
      <c r="B88" s="46"/>
      <c r="C88" s="47"/>
      <c r="D88" s="48"/>
      <c r="E88" s="48" t="str">
        <f t="shared" ref="E88:E99" si="5">E85</f>
        <v>Unserved energy day 1</v>
      </c>
      <c r="F88" s="48"/>
      <c r="G88" s="48"/>
      <c r="H88" s="48"/>
      <c r="I88" s="48"/>
      <c r="J88" s="48"/>
      <c r="K88" s="48"/>
      <c r="L88" s="48"/>
      <c r="M88" s="48"/>
      <c r="N88" s="48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</row>
    <row r="89" spans="1:57" x14ac:dyDescent="0.2">
      <c r="A89" s="46"/>
      <c r="B89" s="46"/>
      <c r="C89" s="47"/>
      <c r="D89" s="48"/>
      <c r="E89" s="80" t="str">
        <f t="shared" si="5"/>
        <v>Unserved energy day 2</v>
      </c>
      <c r="F89" s="80"/>
      <c r="G89" s="80"/>
      <c r="H89" s="80"/>
      <c r="I89" s="80"/>
      <c r="J89" s="80"/>
      <c r="K89" s="80"/>
      <c r="L89" s="80"/>
      <c r="M89" s="80"/>
      <c r="N89" s="8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</row>
    <row r="90" spans="1:57" x14ac:dyDescent="0.2">
      <c r="A90" s="46"/>
      <c r="B90" s="46"/>
      <c r="C90" s="47"/>
      <c r="D90" s="85" t="str">
        <f>D77</f>
        <v>N-1</v>
      </c>
      <c r="E90" s="85" t="str">
        <f t="shared" si="5"/>
        <v>Average load at risk (pu)</v>
      </c>
      <c r="F90" s="85"/>
      <c r="G90" s="85"/>
      <c r="H90" s="85"/>
      <c r="I90" s="85"/>
      <c r="J90" s="85"/>
      <c r="K90" s="85"/>
      <c r="L90" s="85"/>
      <c r="M90" s="85"/>
      <c r="N90" s="85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</row>
    <row r="91" spans="1:57" x14ac:dyDescent="0.2">
      <c r="A91" s="46"/>
      <c r="B91" s="46"/>
      <c r="C91" s="47"/>
      <c r="D91" s="48"/>
      <c r="E91" s="48" t="str">
        <f t="shared" si="5"/>
        <v>Unserved energy day 1</v>
      </c>
      <c r="F91" s="48"/>
      <c r="G91" s="48"/>
      <c r="H91" s="48"/>
      <c r="I91" s="48"/>
      <c r="J91" s="48"/>
      <c r="K91" s="48"/>
      <c r="L91" s="48"/>
      <c r="M91" s="48"/>
      <c r="N91" s="48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</row>
    <row r="92" spans="1:57" x14ac:dyDescent="0.2">
      <c r="A92" s="46"/>
      <c r="B92" s="46"/>
      <c r="C92" s="47"/>
      <c r="D92" s="48"/>
      <c r="E92" s="80" t="str">
        <f t="shared" si="5"/>
        <v>Unserved energy day 2</v>
      </c>
      <c r="F92" s="80"/>
      <c r="G92" s="80"/>
      <c r="H92" s="80"/>
      <c r="I92" s="80"/>
      <c r="J92" s="80"/>
      <c r="K92" s="80"/>
      <c r="L92" s="80"/>
      <c r="M92" s="80"/>
      <c r="N92" s="8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</row>
    <row r="93" spans="1:57" x14ac:dyDescent="0.2">
      <c r="A93" s="46"/>
      <c r="B93" s="46"/>
      <c r="C93" s="47"/>
      <c r="D93" s="85" t="str">
        <f>D78</f>
        <v>N-2</v>
      </c>
      <c r="E93" s="85" t="str">
        <f t="shared" si="5"/>
        <v>Average load at risk (pu)</v>
      </c>
      <c r="F93" s="85"/>
      <c r="G93" s="85"/>
      <c r="H93" s="85"/>
      <c r="I93" s="85"/>
      <c r="J93" s="85"/>
      <c r="K93" s="85"/>
      <c r="L93" s="85"/>
      <c r="M93" s="85"/>
      <c r="N93" s="85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</row>
    <row r="94" spans="1:57" x14ac:dyDescent="0.2">
      <c r="A94" s="46"/>
      <c r="B94" s="46"/>
      <c r="C94" s="47"/>
      <c r="D94" s="48"/>
      <c r="E94" s="48" t="str">
        <f t="shared" si="5"/>
        <v>Unserved energy day 1</v>
      </c>
      <c r="F94" s="48"/>
      <c r="G94" s="48"/>
      <c r="H94" s="48"/>
      <c r="I94" s="48"/>
      <c r="J94" s="48"/>
      <c r="K94" s="48"/>
      <c r="L94" s="48"/>
      <c r="M94" s="48"/>
      <c r="N94" s="48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</row>
    <row r="95" spans="1:57" x14ac:dyDescent="0.2">
      <c r="A95" s="46"/>
      <c r="B95" s="46"/>
      <c r="C95" s="47"/>
      <c r="D95" s="48"/>
      <c r="E95" s="80" t="str">
        <f t="shared" si="5"/>
        <v>Unserved energy day 2</v>
      </c>
      <c r="F95" s="80"/>
      <c r="G95" s="80"/>
      <c r="H95" s="80"/>
      <c r="I95" s="80"/>
      <c r="J95" s="80"/>
      <c r="K95" s="80"/>
      <c r="L95" s="80"/>
      <c r="M95" s="80"/>
      <c r="N95" s="8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</row>
    <row r="96" spans="1:57" x14ac:dyDescent="0.2">
      <c r="A96" s="46"/>
      <c r="B96" s="46"/>
      <c r="C96" s="47"/>
      <c r="D96" s="85" t="str">
        <f>D79</f>
        <v>N-3</v>
      </c>
      <c r="E96" s="85" t="str">
        <f t="shared" si="5"/>
        <v>Average load at risk (pu)</v>
      </c>
      <c r="F96" s="85"/>
      <c r="G96" s="85"/>
      <c r="H96" s="85"/>
      <c r="I96" s="85"/>
      <c r="J96" s="85"/>
      <c r="K96" s="85"/>
      <c r="L96" s="85"/>
      <c r="M96" s="85"/>
      <c r="N96" s="85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</row>
    <row r="97" spans="1:57" x14ac:dyDescent="0.2">
      <c r="A97" s="46"/>
      <c r="B97" s="46"/>
      <c r="C97" s="47"/>
      <c r="D97" s="48"/>
      <c r="E97" s="48" t="str">
        <f t="shared" si="5"/>
        <v>Unserved energy day 1</v>
      </c>
      <c r="F97" s="48"/>
      <c r="G97" s="48"/>
      <c r="H97" s="48"/>
      <c r="I97" s="48"/>
      <c r="J97" s="48"/>
      <c r="K97" s="48"/>
      <c r="L97" s="48"/>
      <c r="M97" s="48"/>
      <c r="N97" s="48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</row>
    <row r="98" spans="1:57" x14ac:dyDescent="0.2">
      <c r="A98" s="46"/>
      <c r="B98" s="46"/>
      <c r="C98" s="47"/>
      <c r="D98" s="48"/>
      <c r="E98" s="80" t="str">
        <f t="shared" si="5"/>
        <v>Unserved energy day 2</v>
      </c>
      <c r="F98" s="80"/>
      <c r="G98" s="80"/>
      <c r="H98" s="80"/>
      <c r="I98" s="80"/>
      <c r="J98" s="80"/>
      <c r="K98" s="80"/>
      <c r="L98" s="80"/>
      <c r="M98" s="80"/>
      <c r="N98" s="8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</row>
    <row r="99" spans="1:57" x14ac:dyDescent="0.2">
      <c r="A99" s="46"/>
      <c r="B99" s="46"/>
      <c r="C99" s="47"/>
      <c r="D99" s="86" t="str">
        <f>D80</f>
        <v>N-4</v>
      </c>
      <c r="E99" s="86" t="str">
        <f t="shared" si="5"/>
        <v>Average load at risk (pu)</v>
      </c>
      <c r="F99" s="86"/>
      <c r="G99" s="86"/>
      <c r="H99" s="86"/>
      <c r="I99" s="86"/>
      <c r="J99" s="86"/>
      <c r="K99" s="86"/>
      <c r="L99" s="86"/>
      <c r="M99" s="86"/>
      <c r="N99" s="86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</row>
    <row r="100" spans="1:57" x14ac:dyDescent="0.2">
      <c r="A100" s="46"/>
      <c r="B100" s="46"/>
      <c r="C100" s="4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</row>
    <row r="101" spans="1:57" x14ac:dyDescent="0.2">
      <c r="A101" s="46"/>
      <c r="B101" s="46"/>
      <c r="C101" s="47" t="s">
        <v>166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</row>
    <row r="102" spans="1:57" x14ac:dyDescent="0.2">
      <c r="A102" s="46"/>
      <c r="B102" s="46"/>
      <c r="C102" s="47"/>
      <c r="D102" s="48" t="str">
        <f>D87</f>
        <v>N</v>
      </c>
      <c r="E102" s="48"/>
      <c r="F102" s="48"/>
      <c r="G102" s="48"/>
      <c r="H102" s="48"/>
      <c r="I102" s="48"/>
      <c r="J102" s="48"/>
      <c r="K102" s="48"/>
      <c r="L102" s="48"/>
      <c r="M102" s="88"/>
      <c r="N102" s="48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</row>
    <row r="103" spans="1:57" x14ac:dyDescent="0.2">
      <c r="A103" s="46"/>
      <c r="B103" s="46"/>
      <c r="C103" s="47"/>
      <c r="D103" s="48" t="str">
        <f>D90</f>
        <v>N-1</v>
      </c>
      <c r="E103" s="48"/>
      <c r="F103" s="48"/>
      <c r="G103" s="48"/>
      <c r="H103" s="48"/>
      <c r="I103" s="48"/>
      <c r="J103" s="79" t="str">
        <f>Inputs!D64</f>
        <v>Significant</v>
      </c>
      <c r="K103" s="48"/>
      <c r="L103" s="48"/>
      <c r="M103" s="88"/>
      <c r="N103" s="48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</row>
    <row r="104" spans="1:57" x14ac:dyDescent="0.2">
      <c r="A104" s="46"/>
      <c r="B104" s="46"/>
      <c r="C104" s="47"/>
      <c r="D104" s="48" t="str">
        <f>D90</f>
        <v>N-1</v>
      </c>
      <c r="E104" s="48"/>
      <c r="F104" s="48"/>
      <c r="G104" s="48"/>
      <c r="H104" s="48"/>
      <c r="I104" s="48"/>
      <c r="J104" s="79" t="str">
        <f>Inputs!D65</f>
        <v>Major</v>
      </c>
      <c r="K104" s="48"/>
      <c r="L104" s="48"/>
      <c r="M104" s="88"/>
      <c r="N104" s="48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</row>
    <row r="105" spans="1:57" x14ac:dyDescent="0.2">
      <c r="A105" s="46"/>
      <c r="B105" s="46"/>
      <c r="C105" s="47"/>
      <c r="D105" s="48" t="str">
        <f>D93</f>
        <v>N-2</v>
      </c>
      <c r="E105" s="48"/>
      <c r="F105" s="48"/>
      <c r="G105" s="48"/>
      <c r="H105" s="48"/>
      <c r="I105" s="48"/>
      <c r="J105" s="79" t="str">
        <f>Inputs!$D$66</f>
        <v>Catastrophic</v>
      </c>
      <c r="K105" s="48"/>
      <c r="L105" s="48"/>
      <c r="M105" s="88"/>
      <c r="N105" s="48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</row>
    <row r="106" spans="1:57" x14ac:dyDescent="0.2">
      <c r="A106" s="46"/>
      <c r="B106" s="46"/>
      <c r="C106" s="47"/>
      <c r="D106" s="48" t="str">
        <f>D96</f>
        <v>N-3</v>
      </c>
      <c r="E106" s="48"/>
      <c r="F106" s="48"/>
      <c r="G106" s="48"/>
      <c r="H106" s="48"/>
      <c r="I106" s="48"/>
      <c r="J106" s="79" t="str">
        <f>Inputs!$D$66</f>
        <v>Catastrophic</v>
      </c>
      <c r="K106" s="48"/>
      <c r="L106" s="48"/>
      <c r="M106" s="88"/>
      <c r="N106" s="48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</row>
    <row r="107" spans="1:57" x14ac:dyDescent="0.2">
      <c r="A107" s="46"/>
      <c r="B107" s="46"/>
      <c r="C107" s="47"/>
      <c r="D107" s="80" t="str">
        <f>D99</f>
        <v>N-4</v>
      </c>
      <c r="E107" s="80"/>
      <c r="F107" s="80"/>
      <c r="G107" s="80"/>
      <c r="H107" s="80"/>
      <c r="I107" s="80"/>
      <c r="J107" s="79" t="str">
        <f>Inputs!$D$66</f>
        <v>Catastrophic</v>
      </c>
      <c r="K107" s="80"/>
      <c r="L107" s="80"/>
      <c r="M107" s="89"/>
      <c r="N107" s="8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</row>
    <row r="108" spans="1:57" x14ac:dyDescent="0.2">
      <c r="A108" s="46"/>
      <c r="B108" s="46"/>
      <c r="C108" s="47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</row>
    <row r="109" spans="1:57" x14ac:dyDescent="0.2">
      <c r="A109" s="49" t="s">
        <v>167</v>
      </c>
      <c r="B109" s="49"/>
      <c r="C109" s="50"/>
      <c r="D109" s="51"/>
      <c r="E109" s="51"/>
      <c r="F109" s="51"/>
      <c r="G109" s="51"/>
      <c r="H109" s="51"/>
      <c r="I109" s="51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</row>
    <row r="110" spans="1:57" x14ac:dyDescent="0.2">
      <c r="A110" s="46"/>
      <c r="B110" s="46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  <row r="111" spans="1:57" x14ac:dyDescent="0.2">
      <c r="A111" s="46"/>
      <c r="B111" s="46" t="s">
        <v>168</v>
      </c>
      <c r="C111" s="47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</row>
    <row r="112" spans="1:57" x14ac:dyDescent="0.2">
      <c r="A112" s="46"/>
      <c r="B112" s="46"/>
      <c r="C112" s="47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</row>
    <row r="113" spans="1:57" x14ac:dyDescent="0.2">
      <c r="A113" s="46"/>
      <c r="B113" s="46"/>
      <c r="C113" s="47" t="str">
        <f>Inputs!C63</f>
        <v>Failure mode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</row>
    <row r="114" spans="1:57" x14ac:dyDescent="0.2">
      <c r="A114" s="46"/>
      <c r="B114" s="46"/>
      <c r="C114" s="47"/>
      <c r="D114" s="48" t="str">
        <f>Inputs!D64</f>
        <v>Significant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53">
        <f>Inputs!O64*$I$9</f>
        <v>9.8999999999999991E-3</v>
      </c>
      <c r="P114" s="53">
        <f>Inputs!P64*$I$9</f>
        <v>1.089E-2</v>
      </c>
      <c r="Q114" s="53">
        <f>Inputs!Q64*$I$9</f>
        <v>1.197E-2</v>
      </c>
      <c r="R114" s="53">
        <f>Inputs!R64*$I$9</f>
        <v>1.3140000000000001E-2</v>
      </c>
      <c r="S114" s="53">
        <f>Inputs!S64*$I$9</f>
        <v>1.4489999999999999E-2</v>
      </c>
      <c r="T114" s="53">
        <f>Inputs!T64*$I$9</f>
        <v>1.593E-2</v>
      </c>
      <c r="U114" s="53">
        <f>Inputs!U64*$I$9</f>
        <v>1.755E-2</v>
      </c>
      <c r="V114" s="53">
        <f>Inputs!V64*$I$9</f>
        <v>1.9259999999999999E-2</v>
      </c>
      <c r="W114" s="53">
        <f>Inputs!W64*$I$9</f>
        <v>2.1239999999999998E-2</v>
      </c>
      <c r="X114" s="53">
        <f>Inputs!X64*$I$9</f>
        <v>2.3310000000000001E-2</v>
      </c>
      <c r="Y114" s="53">
        <f>Inputs!Y64*$I$9</f>
        <v>2.5650000000000003E-2</v>
      </c>
      <c r="Z114" s="53">
        <f>Inputs!Z64*$I$9</f>
        <v>2.8259999999999997E-2</v>
      </c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</row>
    <row r="115" spans="1:57" x14ac:dyDescent="0.2">
      <c r="A115" s="46"/>
      <c r="B115" s="46"/>
      <c r="C115" s="47"/>
      <c r="D115" s="48" t="str">
        <f>Inputs!D65</f>
        <v>Major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53">
        <f>Inputs!O65*$I$9</f>
        <v>9.5399999999999999E-3</v>
      </c>
      <c r="P115" s="53">
        <f>Inputs!P65*$I$9</f>
        <v>1.044E-2</v>
      </c>
      <c r="Q115" s="53">
        <f>Inputs!Q65*$I$9</f>
        <v>1.1520000000000001E-2</v>
      </c>
      <c r="R115" s="53">
        <f>Inputs!R65*$I$9</f>
        <v>1.269E-2</v>
      </c>
      <c r="S115" s="53">
        <f>Inputs!S65*$I$9</f>
        <v>1.3950000000000001E-2</v>
      </c>
      <c r="T115" s="53">
        <f>Inputs!T65*$I$9</f>
        <v>1.5300000000000001E-2</v>
      </c>
      <c r="U115" s="53">
        <f>Inputs!U65*$I$9</f>
        <v>1.6830000000000001E-2</v>
      </c>
      <c r="V115" s="53">
        <f>Inputs!V65*$I$9</f>
        <v>1.8540000000000001E-2</v>
      </c>
      <c r="W115" s="53">
        <f>Inputs!W65*$I$9</f>
        <v>2.034E-2</v>
      </c>
      <c r="X115" s="53">
        <f>Inputs!X65*$I$9</f>
        <v>2.2409999999999999E-2</v>
      </c>
      <c r="Y115" s="53">
        <f>Inputs!Y65*$I$9</f>
        <v>2.4660000000000001E-2</v>
      </c>
      <c r="Z115" s="53">
        <f>Inputs!Z65*$I$9</f>
        <v>2.7089999999999999E-2</v>
      </c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</row>
    <row r="116" spans="1:57" x14ac:dyDescent="0.2">
      <c r="A116" s="46"/>
      <c r="B116" s="46"/>
      <c r="C116" s="47"/>
      <c r="D116" s="80" t="str">
        <f>Inputs!D66</f>
        <v>Catastrophic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53">
        <f>Inputs!O66*$I$9</f>
        <v>9.0630000000000002E-2</v>
      </c>
      <c r="P116" s="53">
        <f>Inputs!P66*$I$9</f>
        <v>9.963000000000001E-2</v>
      </c>
      <c r="Q116" s="53">
        <f>Inputs!Q66*$I$9</f>
        <v>0.10962000000000001</v>
      </c>
      <c r="R116" s="53">
        <f>Inputs!R66*$I$9</f>
        <v>0.12060000000000001</v>
      </c>
      <c r="S116" s="53">
        <f>Inputs!S66*$I$9</f>
        <v>0.13266</v>
      </c>
      <c r="T116" s="53">
        <f>Inputs!T66*$I$9</f>
        <v>0.14588999999999999</v>
      </c>
      <c r="U116" s="53">
        <f>Inputs!U66*$I$9</f>
        <v>0.16047</v>
      </c>
      <c r="V116" s="53">
        <f>Inputs!V66*$I$9</f>
        <v>0.17649000000000001</v>
      </c>
      <c r="W116" s="53">
        <f>Inputs!W66*$I$9</f>
        <v>0.19422</v>
      </c>
      <c r="X116" s="53">
        <f>Inputs!X66*$I$9</f>
        <v>0.21357000000000001</v>
      </c>
      <c r="Y116" s="53">
        <f>Inputs!Y66*$I$9</f>
        <v>0.23499</v>
      </c>
      <c r="Z116" s="53">
        <f>Inputs!Z66*$I$9</f>
        <v>0.25848000000000004</v>
      </c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</row>
    <row r="117" spans="1:57" x14ac:dyDescent="0.2">
      <c r="A117" s="46"/>
      <c r="B117" s="46"/>
      <c r="C117" s="47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</row>
    <row r="118" spans="1:57" x14ac:dyDescent="0.2">
      <c r="A118" s="46"/>
      <c r="B118" s="46"/>
      <c r="C118" s="47" t="s">
        <v>169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</row>
    <row r="119" spans="1:57" x14ac:dyDescent="0.2">
      <c r="A119" s="46"/>
      <c r="B119" s="46"/>
      <c r="C119" s="47"/>
      <c r="D119" s="48" t="str">
        <f>$O$16</f>
        <v>Network Performance</v>
      </c>
      <c r="E119" s="48"/>
      <c r="F119" s="48"/>
      <c r="G119" s="48"/>
      <c r="H119" s="48"/>
      <c r="I119" s="48"/>
      <c r="J119" s="79" t="str">
        <f>J103</f>
        <v>Significant</v>
      </c>
      <c r="K119" s="48"/>
      <c r="L119" s="48"/>
      <c r="M119" s="48"/>
      <c r="N119" s="48"/>
      <c r="O119" s="112">
        <f>$O$37*O114</f>
        <v>0</v>
      </c>
      <c r="P119" s="112">
        <f t="shared" ref="P119:Z119" si="6">$O$37*P114</f>
        <v>0</v>
      </c>
      <c r="Q119" s="112">
        <f t="shared" si="6"/>
        <v>0</v>
      </c>
      <c r="R119" s="112">
        <f t="shared" si="6"/>
        <v>0</v>
      </c>
      <c r="S119" s="112">
        <f t="shared" si="6"/>
        <v>0</v>
      </c>
      <c r="T119" s="112">
        <f t="shared" si="6"/>
        <v>0</v>
      </c>
      <c r="U119" s="112">
        <f t="shared" si="6"/>
        <v>0</v>
      </c>
      <c r="V119" s="112">
        <f t="shared" si="6"/>
        <v>0</v>
      </c>
      <c r="W119" s="112">
        <f t="shared" si="6"/>
        <v>0</v>
      </c>
      <c r="X119" s="112">
        <f t="shared" si="6"/>
        <v>0</v>
      </c>
      <c r="Y119" s="112">
        <f t="shared" si="6"/>
        <v>0</v>
      </c>
      <c r="Z119" s="112">
        <f t="shared" si="6"/>
        <v>0</v>
      </c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</row>
    <row r="120" spans="1:57" x14ac:dyDescent="0.2">
      <c r="A120" s="46"/>
      <c r="B120" s="46"/>
      <c r="C120" s="47"/>
      <c r="D120" s="48" t="str">
        <f t="shared" ref="D120:D121" si="7">$O$16</f>
        <v>Network Performance</v>
      </c>
      <c r="E120" s="48"/>
      <c r="F120" s="48"/>
      <c r="G120" s="48"/>
      <c r="H120" s="48"/>
      <c r="I120" s="48"/>
      <c r="J120" s="79" t="str">
        <f t="shared" ref="J120:J121" si="8">J104</f>
        <v>Major</v>
      </c>
      <c r="K120" s="48"/>
      <c r="L120" s="48"/>
      <c r="M120" s="48"/>
      <c r="N120" s="48"/>
      <c r="O120" s="112">
        <f>$O$27*O115</f>
        <v>4293</v>
      </c>
      <c r="P120" s="112">
        <f t="shared" ref="P120:Z120" si="9">$O$27*P115</f>
        <v>4698</v>
      </c>
      <c r="Q120" s="112">
        <f t="shared" si="9"/>
        <v>5184</v>
      </c>
      <c r="R120" s="112">
        <f t="shared" si="9"/>
        <v>5710.5</v>
      </c>
      <c r="S120" s="112">
        <f t="shared" si="9"/>
        <v>6277.5</v>
      </c>
      <c r="T120" s="112">
        <f t="shared" si="9"/>
        <v>6885.0000000000009</v>
      </c>
      <c r="U120" s="112">
        <f t="shared" si="9"/>
        <v>7573.5000000000009</v>
      </c>
      <c r="V120" s="112">
        <f t="shared" si="9"/>
        <v>8343</v>
      </c>
      <c r="W120" s="112">
        <f t="shared" si="9"/>
        <v>9153</v>
      </c>
      <c r="X120" s="112">
        <f t="shared" si="9"/>
        <v>10084.5</v>
      </c>
      <c r="Y120" s="112">
        <f t="shared" si="9"/>
        <v>11097</v>
      </c>
      <c r="Z120" s="112">
        <f t="shared" si="9"/>
        <v>12190.5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</row>
    <row r="121" spans="1:57" x14ac:dyDescent="0.2">
      <c r="A121" s="46"/>
      <c r="B121" s="46"/>
      <c r="C121" s="47"/>
      <c r="D121" s="80" t="str">
        <f t="shared" si="7"/>
        <v>Network Performance</v>
      </c>
      <c r="E121" s="80"/>
      <c r="F121" s="80"/>
      <c r="G121" s="80"/>
      <c r="H121" s="80"/>
      <c r="I121" s="80"/>
      <c r="J121" s="79" t="str">
        <f t="shared" si="8"/>
        <v>Catastrophic</v>
      </c>
      <c r="K121" s="80"/>
      <c r="L121" s="80"/>
      <c r="M121" s="80"/>
      <c r="N121" s="80"/>
      <c r="O121" s="112">
        <f>$O$17*O116</f>
        <v>40783.5</v>
      </c>
      <c r="P121" s="112">
        <f t="shared" ref="P121:Z121" si="10">$O$17*P116</f>
        <v>44833.500000000007</v>
      </c>
      <c r="Q121" s="112">
        <f t="shared" si="10"/>
        <v>49329.000000000007</v>
      </c>
      <c r="R121" s="112">
        <f t="shared" si="10"/>
        <v>54270.000000000007</v>
      </c>
      <c r="S121" s="112">
        <f t="shared" si="10"/>
        <v>59697</v>
      </c>
      <c r="T121" s="112">
        <f t="shared" si="10"/>
        <v>65650.5</v>
      </c>
      <c r="U121" s="112">
        <f t="shared" si="10"/>
        <v>72211.5</v>
      </c>
      <c r="V121" s="112">
        <f t="shared" si="10"/>
        <v>79420.5</v>
      </c>
      <c r="W121" s="112">
        <f t="shared" si="10"/>
        <v>87399</v>
      </c>
      <c r="X121" s="112">
        <f t="shared" si="10"/>
        <v>96106.5</v>
      </c>
      <c r="Y121" s="112">
        <f t="shared" si="10"/>
        <v>105745.5</v>
      </c>
      <c r="Z121" s="112">
        <f t="shared" si="10"/>
        <v>116316.00000000001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</row>
    <row r="122" spans="1:57" x14ac:dyDescent="0.2">
      <c r="A122" s="46"/>
      <c r="B122" s="46"/>
      <c r="C122" s="47"/>
      <c r="D122" s="48" t="s">
        <v>187</v>
      </c>
      <c r="E122" s="48"/>
      <c r="F122" s="48"/>
      <c r="G122" s="48"/>
      <c r="H122" s="48"/>
      <c r="I122" s="48"/>
      <c r="J122" s="113" t="str">
        <f>J119</f>
        <v>Significant</v>
      </c>
      <c r="K122" s="48"/>
      <c r="L122" s="48"/>
      <c r="M122" s="48"/>
      <c r="N122" s="48"/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04">
        <v>0</v>
      </c>
      <c r="X122" s="104">
        <v>0</v>
      </c>
      <c r="Y122" s="104">
        <v>0</v>
      </c>
      <c r="Z122" s="104">
        <v>0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</row>
    <row r="123" spans="1:57" x14ac:dyDescent="0.2">
      <c r="A123" s="46"/>
      <c r="B123" s="46"/>
      <c r="C123" s="47"/>
      <c r="D123" s="80" t="str">
        <f>D122</f>
        <v>Network Performance - Coincidental outage</v>
      </c>
      <c r="E123" s="80"/>
      <c r="F123" s="80"/>
      <c r="G123" s="80"/>
      <c r="H123" s="80"/>
      <c r="I123" s="80"/>
      <c r="J123" s="79" t="str">
        <f>J120</f>
        <v>Major</v>
      </c>
      <c r="K123" s="80"/>
      <c r="L123" s="80"/>
      <c r="M123" s="80"/>
      <c r="N123" s="80"/>
      <c r="O123" s="109">
        <v>0</v>
      </c>
      <c r="P123" s="109">
        <v>0</v>
      </c>
      <c r="Q123" s="109">
        <v>0</v>
      </c>
      <c r="R123" s="109">
        <v>0</v>
      </c>
      <c r="S123" s="109">
        <v>0</v>
      </c>
      <c r="T123" s="109">
        <v>0</v>
      </c>
      <c r="U123" s="109">
        <v>0</v>
      </c>
      <c r="V123" s="109">
        <v>0</v>
      </c>
      <c r="W123" s="109">
        <v>0</v>
      </c>
      <c r="X123" s="109">
        <v>0</v>
      </c>
      <c r="Y123" s="109">
        <v>0</v>
      </c>
      <c r="Z123" s="109">
        <v>0</v>
      </c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</row>
    <row r="124" spans="1:57" x14ac:dyDescent="0.2">
      <c r="A124" s="46"/>
      <c r="B124" s="46"/>
      <c r="C124" s="47"/>
      <c r="D124" s="48" t="s">
        <v>170</v>
      </c>
      <c r="E124" s="48"/>
      <c r="F124" s="48"/>
      <c r="G124" s="48"/>
      <c r="H124" s="48"/>
      <c r="I124" s="48"/>
      <c r="J124" s="113" t="str">
        <f>J119</f>
        <v>Significant</v>
      </c>
      <c r="K124" s="48"/>
      <c r="L124" s="48"/>
      <c r="M124" s="48"/>
      <c r="N124" s="48"/>
      <c r="O124" s="81">
        <f t="shared" ref="O124:Z124" si="11">SUMIF($J$49:$J$51,$J124,$V$49:$V$51)*O114</f>
        <v>7523.9999999999991</v>
      </c>
      <c r="P124" s="81">
        <f t="shared" si="11"/>
        <v>8276.4</v>
      </c>
      <c r="Q124" s="81">
        <f t="shared" si="11"/>
        <v>9097.1999999999989</v>
      </c>
      <c r="R124" s="81">
        <f t="shared" si="11"/>
        <v>9986.4</v>
      </c>
      <c r="S124" s="81">
        <f t="shared" si="11"/>
        <v>11012.4</v>
      </c>
      <c r="T124" s="81">
        <f t="shared" si="11"/>
        <v>12106.8</v>
      </c>
      <c r="U124" s="81">
        <f t="shared" si="11"/>
        <v>13338</v>
      </c>
      <c r="V124" s="81">
        <f t="shared" si="11"/>
        <v>14637.6</v>
      </c>
      <c r="W124" s="81">
        <f t="shared" si="11"/>
        <v>16142.4</v>
      </c>
      <c r="X124" s="81">
        <f t="shared" si="11"/>
        <v>17715.600000000002</v>
      </c>
      <c r="Y124" s="81">
        <f t="shared" si="11"/>
        <v>19494.000000000004</v>
      </c>
      <c r="Z124" s="81">
        <f t="shared" si="11"/>
        <v>21477.599999999999</v>
      </c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</row>
    <row r="125" spans="1:57" x14ac:dyDescent="0.2">
      <c r="A125" s="46"/>
      <c r="B125" s="46"/>
      <c r="C125" s="47"/>
      <c r="D125" s="48" t="s">
        <v>171</v>
      </c>
      <c r="E125" s="48"/>
      <c r="F125" s="48"/>
      <c r="G125" s="48"/>
      <c r="H125" s="48"/>
      <c r="I125" s="48"/>
      <c r="J125" s="79" t="str">
        <f>J120</f>
        <v>Major</v>
      </c>
      <c r="K125" s="48"/>
      <c r="L125" s="48"/>
      <c r="M125" s="48"/>
      <c r="N125" s="48"/>
      <c r="O125" s="66">
        <f t="shared" ref="O125:Z125" si="12">SUMIF($J$49:$J$51,$J125,$V$49:$V$51)*O115</f>
        <v>36786.240000000005</v>
      </c>
      <c r="P125" s="66">
        <f t="shared" si="12"/>
        <v>40256.640000000007</v>
      </c>
      <c r="Q125" s="66">
        <f t="shared" si="12"/>
        <v>44421.12000000001</v>
      </c>
      <c r="R125" s="66">
        <f t="shared" si="12"/>
        <v>48932.640000000007</v>
      </c>
      <c r="S125" s="66">
        <f t="shared" si="12"/>
        <v>53791.200000000012</v>
      </c>
      <c r="T125" s="66">
        <f t="shared" si="12"/>
        <v>58996.80000000001</v>
      </c>
      <c r="U125" s="66">
        <f t="shared" si="12"/>
        <v>64896.48000000001</v>
      </c>
      <c r="V125" s="66">
        <f t="shared" si="12"/>
        <v>71490.240000000005</v>
      </c>
      <c r="W125" s="66">
        <f t="shared" si="12"/>
        <v>78431.040000000008</v>
      </c>
      <c r="X125" s="66">
        <f t="shared" si="12"/>
        <v>86412.96</v>
      </c>
      <c r="Y125" s="66">
        <f t="shared" si="12"/>
        <v>95088.960000000021</v>
      </c>
      <c r="Z125" s="66">
        <f t="shared" si="12"/>
        <v>104459.04000000001</v>
      </c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</row>
    <row r="126" spans="1:57" x14ac:dyDescent="0.2">
      <c r="A126" s="46"/>
      <c r="B126" s="46"/>
      <c r="C126" s="47"/>
      <c r="D126" s="48" t="s">
        <v>172</v>
      </c>
      <c r="E126" s="48"/>
      <c r="F126" s="48"/>
      <c r="G126" s="48"/>
      <c r="H126" s="48"/>
      <c r="I126" s="48"/>
      <c r="J126" s="79" t="str">
        <f>J121</f>
        <v>Catastrophic</v>
      </c>
      <c r="K126" s="48"/>
      <c r="L126" s="48"/>
      <c r="M126" s="48"/>
      <c r="N126" s="48"/>
      <c r="O126" s="66">
        <f t="shared" ref="O126:Z126" si="13">SUMIF($J$49:$J$51,$J126,$V$49:$V$51)*O116</f>
        <v>349469.28</v>
      </c>
      <c r="P126" s="66">
        <f t="shared" si="13"/>
        <v>384173.28000000009</v>
      </c>
      <c r="Q126" s="66">
        <f t="shared" si="13"/>
        <v>422694.72000000009</v>
      </c>
      <c r="R126" s="66">
        <f t="shared" si="13"/>
        <v>465033.60000000009</v>
      </c>
      <c r="S126" s="66">
        <f t="shared" si="13"/>
        <v>511536.96000000008</v>
      </c>
      <c r="T126" s="66">
        <f t="shared" si="13"/>
        <v>562551.84000000008</v>
      </c>
      <c r="U126" s="66">
        <f t="shared" si="13"/>
        <v>618772.32000000007</v>
      </c>
      <c r="V126" s="66">
        <f t="shared" si="13"/>
        <v>680545.44000000006</v>
      </c>
      <c r="W126" s="66">
        <f t="shared" si="13"/>
        <v>748912.32000000007</v>
      </c>
      <c r="X126" s="66">
        <f t="shared" si="13"/>
        <v>823525.92000000016</v>
      </c>
      <c r="Y126" s="66">
        <f t="shared" si="13"/>
        <v>906121.44000000018</v>
      </c>
      <c r="Z126" s="66">
        <f t="shared" si="13"/>
        <v>996698.88000000024</v>
      </c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</row>
    <row r="127" spans="1:57" x14ac:dyDescent="0.2">
      <c r="A127" s="46"/>
      <c r="B127" s="46"/>
      <c r="C127" s="47"/>
      <c r="D127" s="80" t="s">
        <v>173</v>
      </c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66">
        <f>Inputs!$J$27*$I$11</f>
        <v>0</v>
      </c>
      <c r="P127" s="66">
        <f>Inputs!$J$27*$I$11</f>
        <v>0</v>
      </c>
      <c r="Q127" s="66">
        <f>Inputs!$J$27*$I$11</f>
        <v>0</v>
      </c>
      <c r="R127" s="66">
        <f>Inputs!$J$27*$I$11</f>
        <v>0</v>
      </c>
      <c r="S127" s="66">
        <f>Inputs!$J$27*$I$11</f>
        <v>0</v>
      </c>
      <c r="T127" s="66">
        <f>Inputs!$J$27*$I$11</f>
        <v>0</v>
      </c>
      <c r="U127" s="66">
        <f>Inputs!$J$27*$I$11</f>
        <v>0</v>
      </c>
      <c r="V127" s="66">
        <f>Inputs!$J$27*$I$11</f>
        <v>0</v>
      </c>
      <c r="W127" s="66">
        <f>Inputs!$J$27*$I$11</f>
        <v>0</v>
      </c>
      <c r="X127" s="66">
        <f>Inputs!$J$27*$I$11</f>
        <v>0</v>
      </c>
      <c r="Y127" s="66">
        <f>Inputs!$J$27*$I$11</f>
        <v>0</v>
      </c>
      <c r="Z127" s="66">
        <f>Inputs!$J$27*$I$11</f>
        <v>0</v>
      </c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</row>
    <row r="128" spans="1:57" x14ac:dyDescent="0.2">
      <c r="A128" s="46"/>
      <c r="B128" s="46"/>
      <c r="C128" s="47"/>
      <c r="D128" s="48" t="s">
        <v>161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90">
        <f>SUM(O119:O127)</f>
        <v>438856.02</v>
      </c>
      <c r="P128" s="90">
        <f t="shared" ref="P128:Z128" si="14">SUM(P119:P127)</f>
        <v>482237.82000000007</v>
      </c>
      <c r="Q128" s="90">
        <f t="shared" si="14"/>
        <v>530726.04</v>
      </c>
      <c r="R128" s="90">
        <f t="shared" si="14"/>
        <v>583933.14000000013</v>
      </c>
      <c r="S128" s="90">
        <f t="shared" si="14"/>
        <v>642315.06000000006</v>
      </c>
      <c r="T128" s="90">
        <f t="shared" si="14"/>
        <v>706190.94000000006</v>
      </c>
      <c r="U128" s="90">
        <f t="shared" si="14"/>
        <v>776791.8</v>
      </c>
      <c r="V128" s="90">
        <f t="shared" si="14"/>
        <v>854436.78</v>
      </c>
      <c r="W128" s="90">
        <f t="shared" si="14"/>
        <v>940037.76</v>
      </c>
      <c r="X128" s="90">
        <f t="shared" si="14"/>
        <v>1033845.4800000002</v>
      </c>
      <c r="Y128" s="90">
        <f t="shared" si="14"/>
        <v>1137546.9000000001</v>
      </c>
      <c r="Z128" s="90">
        <f t="shared" si="14"/>
        <v>1251142.0200000003</v>
      </c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</row>
    <row r="129" spans="1:57" x14ac:dyDescent="0.2">
      <c r="A129" s="46"/>
      <c r="B129" s="46"/>
      <c r="C129" s="47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</row>
    <row r="130" spans="1:57" x14ac:dyDescent="0.2">
      <c r="A130" s="49" t="s">
        <v>174</v>
      </c>
      <c r="B130" s="49"/>
      <c r="C130" s="50"/>
      <c r="D130" s="51"/>
      <c r="E130" s="51"/>
      <c r="F130" s="51"/>
      <c r="G130" s="51"/>
      <c r="H130" s="51"/>
      <c r="I130" s="51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</row>
    <row r="131" spans="1:57" x14ac:dyDescent="0.2">
      <c r="A131" s="46"/>
      <c r="B131" s="46"/>
      <c r="C131" s="47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</row>
    <row r="132" spans="1:57" x14ac:dyDescent="0.2">
      <c r="A132" s="46"/>
      <c r="B132" s="46" t="s">
        <v>175</v>
      </c>
      <c r="C132" s="47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</row>
    <row r="133" spans="1:57" x14ac:dyDescent="0.2">
      <c r="A133" s="46"/>
      <c r="B133" s="46"/>
      <c r="C133" s="47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</row>
    <row r="134" spans="1:57" x14ac:dyDescent="0.2">
      <c r="A134" s="46"/>
      <c r="B134" s="46"/>
      <c r="C134" s="47" t="s">
        <v>176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</row>
    <row r="135" spans="1:57" x14ac:dyDescent="0.2">
      <c r="A135" s="46"/>
      <c r="B135" s="46"/>
      <c r="C135" s="47"/>
      <c r="D135" s="48" t="str">
        <f>Inputs!D22</f>
        <v>Capex ($2021)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66">
        <f>Inputs!O22*'Scenario A'!$I$10</f>
        <v>0</v>
      </c>
      <c r="P135" s="66">
        <f>Inputs!P22*'Scenario A'!$I$10</f>
        <v>1937783.3628318587</v>
      </c>
      <c r="Q135" s="66">
        <f>Inputs!Q22*'Scenario A'!$I$10</f>
        <v>2735694.1592920357</v>
      </c>
      <c r="R135" s="66">
        <f>Inputs!R22*'Scenario A'!$I$10</f>
        <v>3077655.9292035406</v>
      </c>
      <c r="S135" s="66">
        <f>Inputs!S22*'Scenario A'!$I$10</f>
        <v>3077655.9292035406</v>
      </c>
      <c r="T135" s="66">
        <f>Inputs!T22*'Scenario A'!$I$10</f>
        <v>3077655.9292035406</v>
      </c>
      <c r="U135" s="66">
        <f>Inputs!U22*'Scenario A'!$I$10</f>
        <v>3077655.9292035406</v>
      </c>
      <c r="V135" s="66">
        <f>Inputs!V22*'Scenario A'!$I$10</f>
        <v>3077655.9292035406</v>
      </c>
      <c r="W135" s="66">
        <f>Inputs!W22*'Scenario A'!$I$10</f>
        <v>3077655.9292035406</v>
      </c>
      <c r="X135" s="66">
        <f>Inputs!X22*'Scenario A'!$I$10</f>
        <v>3077655.9292035406</v>
      </c>
      <c r="Y135" s="66">
        <f>Inputs!Y22*'Scenario A'!$I$10</f>
        <v>3077655.9292035406</v>
      </c>
      <c r="Z135" s="66">
        <f>Inputs!Z22*'Scenario A'!$I$10</f>
        <v>3077655.9292035406</v>
      </c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</row>
    <row r="136" spans="1:57" x14ac:dyDescent="0.2">
      <c r="A136" s="46"/>
      <c r="B136" s="46"/>
      <c r="C136" s="47"/>
      <c r="D136" s="48" t="s">
        <v>177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66">
        <f>(O135&lt;&gt;0)*1</f>
        <v>0</v>
      </c>
      <c r="P136" s="66">
        <f t="shared" ref="P136:Z136" si="15">(P135&lt;&gt;0)*1</f>
        <v>1</v>
      </c>
      <c r="Q136" s="66">
        <f t="shared" si="15"/>
        <v>1</v>
      </c>
      <c r="R136" s="66">
        <f t="shared" si="15"/>
        <v>1</v>
      </c>
      <c r="S136" s="66">
        <f t="shared" si="15"/>
        <v>1</v>
      </c>
      <c r="T136" s="66">
        <f t="shared" si="15"/>
        <v>1</v>
      </c>
      <c r="U136" s="66">
        <f t="shared" si="15"/>
        <v>1</v>
      </c>
      <c r="V136" s="66">
        <f t="shared" si="15"/>
        <v>1</v>
      </c>
      <c r="W136" s="66">
        <f t="shared" si="15"/>
        <v>1</v>
      </c>
      <c r="X136" s="66">
        <f t="shared" si="15"/>
        <v>1</v>
      </c>
      <c r="Y136" s="66">
        <f t="shared" si="15"/>
        <v>1</v>
      </c>
      <c r="Z136" s="66">
        <f t="shared" si="15"/>
        <v>1</v>
      </c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</row>
    <row r="137" spans="1:57" x14ac:dyDescent="0.2">
      <c r="A137" s="46"/>
      <c r="B137" s="46"/>
      <c r="C137" s="47"/>
      <c r="D137" s="48" t="s">
        <v>178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53">
        <f>(O136=1)*(1+Inputs!$J$11)^(SUM(O136:$Z136)-1)</f>
        <v>0</v>
      </c>
      <c r="P137" s="53">
        <f>(P136=1)*(1+Inputs!$J$11)^(SUM(P136:$Z136)-1)</f>
        <v>1.311651032586773</v>
      </c>
      <c r="Q137" s="53">
        <f>(Q136=1)*(1+Inputs!$J$11)^(SUM(Q136:$Z136)-1)</f>
        <v>1.2765460171160807</v>
      </c>
      <c r="R137" s="53">
        <f>(R136=1)*(1+Inputs!$J$11)^(SUM(R136:$Z136)-1)</f>
        <v>1.2423805519377913</v>
      </c>
      <c r="S137" s="53">
        <f>(S136=1)*(1+Inputs!$J$11)^(SUM(S136:$Z136)-1)</f>
        <v>1.2091294909370232</v>
      </c>
      <c r="T137" s="53">
        <f>(T136=1)*(1+Inputs!$J$11)^(SUM(T136:$Z136)-1)</f>
        <v>1.1767683610092683</v>
      </c>
      <c r="U137" s="53">
        <f>(U136=1)*(1+Inputs!$J$11)^(SUM(U136:$Z136)-1)</f>
        <v>1.1452733440479497</v>
      </c>
      <c r="V137" s="53">
        <f>(V136=1)*(1+Inputs!$J$11)^(SUM(V136:$Z136)-1)</f>
        <v>1.1146212594140628</v>
      </c>
      <c r="W137" s="53">
        <f>(W136=1)*(1+Inputs!$J$11)^(SUM(W136:$Z136)-1)</f>
        <v>1.0847895468750002</v>
      </c>
      <c r="X137" s="53">
        <f>(X136=1)*(1+Inputs!$J$11)^(SUM(X136:$Z136)-1)</f>
        <v>1.0557562500000002</v>
      </c>
      <c r="Y137" s="53">
        <f>(Y136=1)*(1+Inputs!$J$11)^(SUM(Y136:$Z136)-1)</f>
        <v>1.0275000000000001</v>
      </c>
      <c r="Z137" s="53">
        <f>(Z136=1)*(1+Inputs!$J$11)^(SUM(Z136:$Z136)-1)</f>
        <v>1</v>
      </c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</row>
    <row r="138" spans="1:57" x14ac:dyDescent="0.2">
      <c r="A138" s="46"/>
      <c r="B138" s="46"/>
      <c r="C138" s="47"/>
      <c r="D138" s="48" t="s">
        <v>179</v>
      </c>
      <c r="E138" s="48"/>
      <c r="F138" s="48"/>
      <c r="G138" s="48"/>
      <c r="H138" s="48"/>
      <c r="I138" s="48"/>
      <c r="J138" s="66">
        <f>PMT(Inputs!$J$11,Inputs!$J$12,-SUMPRODUCT('Scenario A'!O135:Z135,'Scenario A'!O137:Z137),0,0)</f>
        <v>1369903.4560752423</v>
      </c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</row>
    <row r="139" spans="1:57" x14ac:dyDescent="0.2">
      <c r="A139" s="46"/>
      <c r="B139" s="46"/>
      <c r="C139" s="47"/>
      <c r="D139" s="48" t="s">
        <v>180</v>
      </c>
      <c r="E139" s="48"/>
      <c r="F139" s="48"/>
      <c r="G139" s="48"/>
      <c r="H139" s="48"/>
      <c r="I139" s="48"/>
      <c r="J139" s="66">
        <f>Inputs!K27*$I$11</f>
        <v>0</v>
      </c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</row>
    <row r="140" spans="1:57" x14ac:dyDescent="0.2">
      <c r="A140" s="46"/>
      <c r="B140" s="46"/>
      <c r="C140" s="47"/>
      <c r="D140" s="48" t="s">
        <v>181</v>
      </c>
      <c r="E140" s="48"/>
      <c r="F140" s="48"/>
      <c r="G140" s="48"/>
      <c r="H140" s="48"/>
      <c r="I140" s="48"/>
      <c r="J140" s="66">
        <f>SUM(J138:J139)</f>
        <v>1369903.4560752423</v>
      </c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</row>
    <row r="141" spans="1:57" x14ac:dyDescent="0.2">
      <c r="A141" s="46"/>
      <c r="B141" s="46"/>
      <c r="C141" s="47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</row>
    <row r="142" spans="1:57" x14ac:dyDescent="0.2">
      <c r="A142" s="49" t="s">
        <v>182</v>
      </c>
      <c r="B142" s="49"/>
      <c r="C142" s="50"/>
      <c r="D142" s="51"/>
      <c r="E142" s="51"/>
      <c r="F142" s="51"/>
      <c r="G142" s="51"/>
      <c r="H142" s="51"/>
      <c r="I142" s="51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</row>
    <row r="143" spans="1:57" x14ac:dyDescent="0.2">
      <c r="A143" s="46"/>
      <c r="B143" s="46"/>
      <c r="C143" s="47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</row>
    <row r="144" spans="1:57" x14ac:dyDescent="0.2">
      <c r="A144" s="46"/>
      <c r="B144" s="46" t="s">
        <v>183</v>
      </c>
      <c r="C144" s="47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</row>
    <row r="145" spans="1:57" x14ac:dyDescent="0.2">
      <c r="A145" s="46"/>
      <c r="B145" s="46"/>
      <c r="C145" s="47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</row>
    <row r="146" spans="1:57" x14ac:dyDescent="0.2">
      <c r="A146" s="46"/>
      <c r="B146" s="46"/>
      <c r="C146" s="47" t="s">
        <v>8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79">
        <f t="shared" ref="O146:Z146" si="16">O2</f>
        <v>2019</v>
      </c>
      <c r="P146" s="79">
        <f t="shared" si="16"/>
        <v>2020</v>
      </c>
      <c r="Q146" s="79">
        <f t="shared" si="16"/>
        <v>2021</v>
      </c>
      <c r="R146" s="79">
        <f t="shared" si="16"/>
        <v>2022</v>
      </c>
      <c r="S146" s="79">
        <f t="shared" si="16"/>
        <v>2023</v>
      </c>
      <c r="T146" s="79">
        <f t="shared" si="16"/>
        <v>2024</v>
      </c>
      <c r="U146" s="79">
        <f t="shared" si="16"/>
        <v>2025</v>
      </c>
      <c r="V146" s="79">
        <f t="shared" si="16"/>
        <v>2026</v>
      </c>
      <c r="W146" s="79">
        <f t="shared" si="16"/>
        <v>2027</v>
      </c>
      <c r="X146" s="79">
        <f t="shared" si="16"/>
        <v>2028</v>
      </c>
      <c r="Y146" s="79">
        <f t="shared" si="16"/>
        <v>2029</v>
      </c>
      <c r="Z146" s="79">
        <f t="shared" si="16"/>
        <v>2030</v>
      </c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</row>
    <row r="147" spans="1:57" x14ac:dyDescent="0.2">
      <c r="A147" s="46"/>
      <c r="B147" s="46"/>
      <c r="C147" s="47"/>
      <c r="D147" s="48" t="s">
        <v>184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66">
        <f>O128</f>
        <v>438856.02</v>
      </c>
      <c r="P147" s="66">
        <f t="shared" ref="P147:Z147" si="17">P128</f>
        <v>482237.82000000007</v>
      </c>
      <c r="Q147" s="66">
        <f t="shared" si="17"/>
        <v>530726.04</v>
      </c>
      <c r="R147" s="66">
        <f t="shared" si="17"/>
        <v>583933.14000000013</v>
      </c>
      <c r="S147" s="66">
        <f t="shared" si="17"/>
        <v>642315.06000000006</v>
      </c>
      <c r="T147" s="66">
        <f t="shared" si="17"/>
        <v>706190.94000000006</v>
      </c>
      <c r="U147" s="66">
        <f t="shared" si="17"/>
        <v>776791.8</v>
      </c>
      <c r="V147" s="66">
        <f t="shared" si="17"/>
        <v>854436.78</v>
      </c>
      <c r="W147" s="66">
        <f t="shared" si="17"/>
        <v>940037.76</v>
      </c>
      <c r="X147" s="66">
        <f t="shared" si="17"/>
        <v>1033845.4800000002</v>
      </c>
      <c r="Y147" s="66">
        <f t="shared" si="17"/>
        <v>1137546.9000000001</v>
      </c>
      <c r="Z147" s="66">
        <f t="shared" si="17"/>
        <v>1251142.0200000003</v>
      </c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</row>
    <row r="148" spans="1:57" x14ac:dyDescent="0.2">
      <c r="A148" s="46"/>
      <c r="B148" s="46"/>
      <c r="C148" s="47"/>
      <c r="D148" s="48" t="s">
        <v>174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66">
        <f>$J$140</f>
        <v>1369903.4560752423</v>
      </c>
      <c r="P148" s="66">
        <f t="shared" ref="P148:Z148" si="18">$J$140</f>
        <v>1369903.4560752423</v>
      </c>
      <c r="Q148" s="66">
        <f t="shared" si="18"/>
        <v>1369903.4560752423</v>
      </c>
      <c r="R148" s="66">
        <f t="shared" si="18"/>
        <v>1369903.4560752423</v>
      </c>
      <c r="S148" s="66">
        <f t="shared" si="18"/>
        <v>1369903.4560752423</v>
      </c>
      <c r="T148" s="66">
        <f t="shared" si="18"/>
        <v>1369903.4560752423</v>
      </c>
      <c r="U148" s="66">
        <f t="shared" si="18"/>
        <v>1369903.4560752423</v>
      </c>
      <c r="V148" s="66">
        <f t="shared" si="18"/>
        <v>1369903.4560752423</v>
      </c>
      <c r="W148" s="66">
        <f t="shared" si="18"/>
        <v>1369903.4560752423</v>
      </c>
      <c r="X148" s="66">
        <f t="shared" si="18"/>
        <v>1369903.4560752423</v>
      </c>
      <c r="Y148" s="66">
        <f t="shared" si="18"/>
        <v>1369903.4560752423</v>
      </c>
      <c r="Z148" s="66">
        <f t="shared" si="18"/>
        <v>1369903.4560752423</v>
      </c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</row>
    <row r="149" spans="1:57" x14ac:dyDescent="0.2">
      <c r="A149" s="46"/>
      <c r="B149" s="46"/>
      <c r="C149" s="47"/>
      <c r="D149" s="48" t="s">
        <v>185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91" t="b">
        <f>(O147&gt;=O148)</f>
        <v>0</v>
      </c>
      <c r="P149" s="91" t="b">
        <f t="shared" ref="P149:Z149" si="19">(P147&gt;=P148)</f>
        <v>0</v>
      </c>
      <c r="Q149" s="91" t="b">
        <f t="shared" si="19"/>
        <v>0</v>
      </c>
      <c r="R149" s="91" t="b">
        <f t="shared" si="19"/>
        <v>0</v>
      </c>
      <c r="S149" s="91" t="b">
        <f t="shared" si="19"/>
        <v>0</v>
      </c>
      <c r="T149" s="91" t="b">
        <f t="shared" si="19"/>
        <v>0</v>
      </c>
      <c r="U149" s="91" t="b">
        <f t="shared" si="19"/>
        <v>0</v>
      </c>
      <c r="V149" s="91" t="b">
        <f t="shared" si="19"/>
        <v>0</v>
      </c>
      <c r="W149" s="91" t="b">
        <f t="shared" si="19"/>
        <v>0</v>
      </c>
      <c r="X149" s="91" t="b">
        <f t="shared" si="19"/>
        <v>0</v>
      </c>
      <c r="Y149" s="91" t="b">
        <f t="shared" si="19"/>
        <v>0</v>
      </c>
      <c r="Z149" s="91" t="b">
        <f t="shared" si="19"/>
        <v>0</v>
      </c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</row>
    <row r="150" spans="1:57" x14ac:dyDescent="0.2">
      <c r="A150" s="46"/>
      <c r="B150" s="46"/>
      <c r="C150" s="47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</row>
    <row r="151" spans="1:57" x14ac:dyDescent="0.2">
      <c r="A151" s="49" t="s">
        <v>147</v>
      </c>
      <c r="B151" s="49"/>
      <c r="C151" s="50"/>
      <c r="D151" s="51"/>
      <c r="E151" s="51"/>
      <c r="F151" s="51"/>
      <c r="G151" s="51"/>
      <c r="H151" s="51"/>
      <c r="I151" s="51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topLeftCell="A25" zoomScale="90" zoomScaleNormal="90" workbookViewId="0">
      <selection activeCell="P39" sqref="P39"/>
    </sheetView>
  </sheetViews>
  <sheetFormatPr defaultColWidth="0" defaultRowHeight="12.75" zeroHeight="1" x14ac:dyDescent="0.2"/>
  <cols>
    <col min="1" max="8" width="3.125" style="41" customWidth="1"/>
    <col min="9" max="9" width="16.25" style="41" customWidth="1"/>
    <col min="10" max="26" width="12.5" style="41" customWidth="1"/>
    <col min="27" max="27" width="3.125" style="41" customWidth="1"/>
    <col min="28" max="57" width="0.625" style="41" customWidth="1"/>
    <col min="58" max="16384" width="9" style="41" hidden="1"/>
  </cols>
  <sheetData>
    <row r="1" spans="1:57" ht="13.15" x14ac:dyDescent="0.4">
      <c r="A1" s="38" t="str">
        <f>Inputs!A1</f>
        <v>CitiPower - CBD Cable Pits</v>
      </c>
      <c r="B1" s="38"/>
      <c r="C1" s="39"/>
      <c r="D1" s="40"/>
      <c r="E1" s="40"/>
      <c r="F1" s="40"/>
      <c r="G1" s="40"/>
      <c r="H1" s="40"/>
      <c r="I1" s="40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13.15" x14ac:dyDescent="0.4">
      <c r="A2" s="42" t="str">
        <f ca="1">RIGHT(CELL("filename", $A$1), LEN(CELL("filename", $A$1)) - SEARCH("]", CELL("filename", $A$1)))</f>
        <v>Scenario B</v>
      </c>
      <c r="B2" s="42"/>
      <c r="C2" s="43"/>
      <c r="D2" s="44"/>
      <c r="E2" s="44"/>
      <c r="F2" s="44"/>
      <c r="G2" s="44"/>
      <c r="H2" s="44"/>
      <c r="I2" s="44"/>
      <c r="J2" s="42"/>
      <c r="K2" s="42"/>
      <c r="L2" s="42"/>
      <c r="M2" s="42"/>
      <c r="N2" s="42"/>
      <c r="O2" s="45">
        <f>Inputs!O2</f>
        <v>2019</v>
      </c>
      <c r="P2" s="45">
        <f>Inputs!P2</f>
        <v>2020</v>
      </c>
      <c r="Q2" s="45">
        <f>Inputs!Q2</f>
        <v>2021</v>
      </c>
      <c r="R2" s="45">
        <f>Inputs!R2</f>
        <v>2022</v>
      </c>
      <c r="S2" s="45">
        <f>Inputs!S2</f>
        <v>2023</v>
      </c>
      <c r="T2" s="45">
        <f>Inputs!T2</f>
        <v>2024</v>
      </c>
      <c r="U2" s="45">
        <f>Inputs!U2</f>
        <v>2025</v>
      </c>
      <c r="V2" s="45">
        <f>Inputs!V2</f>
        <v>2026</v>
      </c>
      <c r="W2" s="45">
        <f>Inputs!W2</f>
        <v>2027</v>
      </c>
      <c r="X2" s="45">
        <f>Inputs!X2</f>
        <v>2028</v>
      </c>
      <c r="Y2" s="45">
        <f>Inputs!Y2</f>
        <v>2029</v>
      </c>
      <c r="Z2" s="45">
        <f>Inputs!Z2</f>
        <v>2030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</row>
    <row r="3" spans="1:57" ht="13.15" x14ac:dyDescent="0.4">
      <c r="A3" s="46"/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ht="13.15" x14ac:dyDescent="0.4">
      <c r="A4" s="49" t="str">
        <f>C8&amp;" "&amp;I8&amp;": "&amp;B6</f>
        <v>Scenario B: Consequence calculation</v>
      </c>
      <c r="B4" s="49"/>
      <c r="C4" s="50"/>
      <c r="D4" s="51"/>
      <c r="E4" s="51"/>
      <c r="F4" s="51"/>
      <c r="G4" s="51"/>
      <c r="H4" s="51"/>
      <c r="I4" s="5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ht="13.15" x14ac:dyDescent="0.4">
      <c r="A5" s="46"/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</row>
    <row r="6" spans="1:57" ht="13.15" x14ac:dyDescent="0.4">
      <c r="A6" s="46"/>
      <c r="B6" s="46" t="s">
        <v>148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</row>
    <row r="7" spans="1:57" ht="13.15" x14ac:dyDescent="0.4">
      <c r="A7" s="46"/>
      <c r="B7" s="46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ht="13.15" x14ac:dyDescent="0.4">
      <c r="A8" s="46"/>
      <c r="B8" s="46"/>
      <c r="C8" s="47" t="s">
        <v>149</v>
      </c>
      <c r="D8" s="48"/>
      <c r="E8" s="48"/>
      <c r="F8" s="48"/>
      <c r="G8" s="48"/>
      <c r="H8" s="48"/>
      <c r="I8" s="52" t="s">
        <v>30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</row>
    <row r="9" spans="1:57" ht="13.15" x14ac:dyDescent="0.4">
      <c r="A9" s="46"/>
      <c r="B9" s="46"/>
      <c r="C9" s="47"/>
      <c r="D9" s="48" t="str">
        <f>Inputs!J52</f>
        <v>PoF</v>
      </c>
      <c r="E9" s="48"/>
      <c r="F9" s="48"/>
      <c r="G9" s="48"/>
      <c r="H9" s="48"/>
      <c r="I9" s="53">
        <f>INDEX(Inputs!$D$52:$O$57,MATCH('Scenario B'!$I$8,Inputs!$D$52:$D$57,0),MATCH('Scenario B'!$D9,Inputs!$D$52:$O$52,0))</f>
        <v>0.9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13.15" x14ac:dyDescent="0.4">
      <c r="A10" s="46"/>
      <c r="B10" s="46"/>
      <c r="C10" s="47"/>
      <c r="D10" s="48" t="str">
        <f>Inputs!K52</f>
        <v>Capex</v>
      </c>
      <c r="E10" s="48"/>
      <c r="F10" s="48"/>
      <c r="G10" s="48"/>
      <c r="H10" s="48"/>
      <c r="I10" s="53">
        <f>INDEX(Inputs!$D$52:$O$57,MATCH('Scenario B'!$I$8,Inputs!$D$52:$D$57,0),MATCH('Scenario B'!$D10,Inputs!$D$52:$O$52,0))</f>
        <v>0.9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</row>
    <row r="11" spans="1:57" ht="13.15" x14ac:dyDescent="0.4">
      <c r="A11" s="46"/>
      <c r="B11" s="46"/>
      <c r="C11" s="47"/>
      <c r="D11" s="48" t="str">
        <f>Inputs!L52</f>
        <v>Opex</v>
      </c>
      <c r="E11" s="48"/>
      <c r="F11" s="48"/>
      <c r="G11" s="48"/>
      <c r="H11" s="48"/>
      <c r="I11" s="53">
        <f>INDEX(Inputs!$D$52:$O$57,MATCH('Scenario B'!$I$8,Inputs!$D$52:$D$57,0),MATCH('Scenario B'!$D11,Inputs!$D$52:$O$52,0))</f>
        <v>0.9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</row>
    <row r="12" spans="1:57" ht="13.15" x14ac:dyDescent="0.4">
      <c r="A12" s="46"/>
      <c r="B12" s="46"/>
      <c r="C12" s="47"/>
      <c r="D12" s="48" t="str">
        <f>Inputs!M52</f>
        <v>Demand</v>
      </c>
      <c r="E12" s="48"/>
      <c r="F12" s="48"/>
      <c r="G12" s="48"/>
      <c r="H12" s="48"/>
      <c r="I12" s="53">
        <f>INDEX(Inputs!$D$52:$O$57,MATCH('Scenario B'!$I$8,Inputs!$D$52:$D$57,0),MATCH('Scenario B'!$D12,Inputs!$D$52:$O$52,0))</f>
        <v>0.95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</row>
    <row r="13" spans="1:57" ht="13.15" x14ac:dyDescent="0.4">
      <c r="A13" s="46"/>
      <c r="B13" s="46"/>
      <c r="C13" s="47"/>
      <c r="D13" s="48" t="str">
        <f>Inputs!N52</f>
        <v>VCR</v>
      </c>
      <c r="E13" s="48"/>
      <c r="F13" s="48"/>
      <c r="G13" s="48"/>
      <c r="H13" s="48"/>
      <c r="I13" s="53">
        <f>INDEX(Inputs!$D$52:$O$57,MATCH('Scenario B'!$I$8,Inputs!$D$52:$D$57,0),MATCH('Scenario B'!$D13,Inputs!$D$52:$O$52,0))</f>
        <v>0.9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</row>
    <row r="14" spans="1:57" ht="13.15" x14ac:dyDescent="0.4">
      <c r="A14" s="46"/>
      <c r="B14" s="46"/>
      <c r="C14" s="47"/>
      <c r="D14" s="48" t="str">
        <f>Inputs!O52</f>
        <v>Environment</v>
      </c>
      <c r="E14" s="48"/>
      <c r="F14" s="48"/>
      <c r="G14" s="48"/>
      <c r="H14" s="48"/>
      <c r="I14" s="53">
        <f>INDEX(Inputs!$D$52:$O$57,MATCH('Scenario B'!$I$8,Inputs!$D$52:$D$57,0),MATCH('Scenario B'!$D14,Inputs!$D$52:$O$52,0))</f>
        <v>0.9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</row>
    <row r="15" spans="1:57" ht="13.15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</row>
    <row r="16" spans="1:57" ht="39.4" x14ac:dyDescent="0.4">
      <c r="A16" s="46"/>
      <c r="B16" s="46"/>
      <c r="C16" s="47"/>
      <c r="D16" s="48"/>
      <c r="E16" s="48"/>
      <c r="F16" s="48"/>
      <c r="G16" s="48"/>
      <c r="H16" s="48"/>
      <c r="I16" s="54" t="s">
        <v>69</v>
      </c>
      <c r="J16" s="55" t="s">
        <v>150</v>
      </c>
      <c r="K16" s="55" t="s">
        <v>151</v>
      </c>
      <c r="L16" s="55"/>
      <c r="M16" s="55"/>
      <c r="N16" s="56"/>
      <c r="O16" s="54" t="s">
        <v>152</v>
      </c>
      <c r="P16" s="55" t="s">
        <v>153</v>
      </c>
      <c r="Q16" s="55" t="s">
        <v>154</v>
      </c>
      <c r="R16" s="55" t="s">
        <v>155</v>
      </c>
      <c r="S16" s="55" t="s">
        <v>25</v>
      </c>
      <c r="T16" s="57" t="s">
        <v>156</v>
      </c>
      <c r="U16" s="54" t="s">
        <v>157</v>
      </c>
      <c r="V16" s="58" t="s">
        <v>158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</row>
    <row r="17" spans="1:57" ht="13.15" x14ac:dyDescent="0.4">
      <c r="A17" s="46"/>
      <c r="B17" s="46"/>
      <c r="C17" s="47"/>
      <c r="D17" s="48"/>
      <c r="E17" s="48"/>
      <c r="F17" s="48"/>
      <c r="G17" s="48"/>
      <c r="H17" s="48"/>
      <c r="I17" s="59">
        <f>INDEX(Inputs!$J$64:$J$66,MATCH('Scenario B'!J17,Inputs!$D$64:$D$66,0))</f>
        <v>3</v>
      </c>
      <c r="J17" s="92" t="s">
        <v>40</v>
      </c>
      <c r="K17" s="93" t="str">
        <f>'Base Case'!K17</f>
        <v>Expected average unserved energy @ VCR</v>
      </c>
      <c r="L17" s="94"/>
      <c r="M17" s="94"/>
      <c r="N17" s="95"/>
      <c r="O17" s="60">
        <f>'Base Case'!O17*'Scenario B'!$I$13</f>
        <v>450000</v>
      </c>
      <c r="P17" s="60">
        <v>0</v>
      </c>
      <c r="Q17" s="60">
        <f>'Base Case'!Q17*'Scenario B'!$I$11</f>
        <v>0</v>
      </c>
      <c r="R17" s="60">
        <f>'Base Case'!R17*'Scenario B'!$I$10</f>
        <v>0</v>
      </c>
      <c r="S17" s="60">
        <f>'Base Case'!S17*'Scenario B'!$I$13</f>
        <v>0</v>
      </c>
      <c r="T17" s="116">
        <f>'Base Case'!$T17</f>
        <v>1</v>
      </c>
      <c r="U17" s="60">
        <f>SUM(O17:S17)*T17</f>
        <v>450000</v>
      </c>
      <c r="V17" s="63">
        <f>SUM(P17:S17)*T17</f>
        <v>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</row>
    <row r="18" spans="1:57" ht="13.15" x14ac:dyDescent="0.4">
      <c r="A18" s="46"/>
      <c r="B18" s="46"/>
      <c r="C18" s="47"/>
      <c r="D18" s="48"/>
      <c r="E18" s="48"/>
      <c r="F18" s="48"/>
      <c r="G18" s="48"/>
      <c r="H18" s="48"/>
      <c r="I18" s="64">
        <f>INDEX(Inputs!$J$64:$J$66,MATCH('Scenario B'!J18,Inputs!$D$64:$D$66,0))</f>
        <v>3</v>
      </c>
      <c r="J18" s="96" t="s">
        <v>40</v>
      </c>
      <c r="K18" s="97" t="str">
        <f>'Base Case'!K18</f>
        <v>Safety consequence</v>
      </c>
      <c r="L18" s="98"/>
      <c r="M18" s="98"/>
      <c r="N18" s="99"/>
      <c r="O18" s="60">
        <v>0</v>
      </c>
      <c r="P18" s="60">
        <f>'Base Case'!P18</f>
        <v>14280000.000000002</v>
      </c>
      <c r="Q18" s="60">
        <f>'Base Case'!Q18*'Scenario B'!$I$11</f>
        <v>0</v>
      </c>
      <c r="R18" s="60">
        <f>'Base Case'!R18*'Scenario B'!$I$10</f>
        <v>0</v>
      </c>
      <c r="S18" s="60">
        <f>'Base Case'!S18*'Scenario B'!$I$13</f>
        <v>0</v>
      </c>
      <c r="T18" s="69">
        <f>'Base Case'!$T18</f>
        <v>0.2</v>
      </c>
      <c r="U18" s="70">
        <f t="shared" ref="U18:U46" si="0">SUM(O18:S18)*T18</f>
        <v>2856000.0000000005</v>
      </c>
      <c r="V18" s="71">
        <f t="shared" ref="V18:V46" si="1">SUM(P18:S18)*T18</f>
        <v>2856000.0000000005</v>
      </c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</row>
    <row r="19" spans="1:57" ht="13.15" x14ac:dyDescent="0.4">
      <c r="A19" s="46"/>
      <c r="B19" s="46"/>
      <c r="C19" s="47"/>
      <c r="D19" s="48"/>
      <c r="E19" s="48"/>
      <c r="F19" s="48"/>
      <c r="G19" s="48"/>
      <c r="H19" s="48"/>
      <c r="I19" s="64">
        <f>INDEX(Inputs!$J$64:$J$66,MATCH('Scenario B'!J19,Inputs!$D$64:$D$66,0))</f>
        <v>3</v>
      </c>
      <c r="J19" s="96" t="s">
        <v>40</v>
      </c>
      <c r="K19" s="97" t="str">
        <f>'Base Case'!K19</f>
        <v>Pit repair cost</v>
      </c>
      <c r="L19" s="98"/>
      <c r="M19" s="98"/>
      <c r="N19" s="99"/>
      <c r="O19" s="60">
        <v>0</v>
      </c>
      <c r="P19" s="60">
        <v>0</v>
      </c>
      <c r="Q19" s="60">
        <f>'Base Case'!Q19*'Scenario B'!$I$11</f>
        <v>0</v>
      </c>
      <c r="R19" s="60">
        <f>'Base Case'!R19*'Scenario B'!$I$10</f>
        <v>450000</v>
      </c>
      <c r="S19" s="60">
        <f>'Base Case'!S19*'Scenario B'!$I$13</f>
        <v>0</v>
      </c>
      <c r="T19" s="69">
        <f>'Base Case'!$T19</f>
        <v>1</v>
      </c>
      <c r="U19" s="70">
        <f t="shared" si="0"/>
        <v>450000</v>
      </c>
      <c r="V19" s="71">
        <f t="shared" si="1"/>
        <v>450000</v>
      </c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</row>
    <row r="20" spans="1:57" ht="13.15" x14ac:dyDescent="0.4">
      <c r="A20" s="46"/>
      <c r="B20" s="46"/>
      <c r="C20" s="47"/>
      <c r="D20" s="48"/>
      <c r="E20" s="48"/>
      <c r="F20" s="48"/>
      <c r="G20" s="48"/>
      <c r="H20" s="48"/>
      <c r="I20" s="64">
        <f>INDEX(Inputs!$J$64:$J$66,MATCH('Scenario B'!J20,Inputs!$D$64:$D$66,0))</f>
        <v>3</v>
      </c>
      <c r="J20" s="96" t="s">
        <v>40</v>
      </c>
      <c r="K20" s="97" t="str">
        <f>'Base Case'!K20</f>
        <v>Electrical Asset repair</v>
      </c>
      <c r="L20" s="98"/>
      <c r="M20" s="98"/>
      <c r="N20" s="99"/>
      <c r="O20" s="60">
        <v>0</v>
      </c>
      <c r="P20" s="60">
        <v>0</v>
      </c>
      <c r="Q20" s="60">
        <f>'Base Case'!Q20*'Scenario B'!$I$11</f>
        <v>360000</v>
      </c>
      <c r="R20" s="60">
        <f>'Base Case'!R20*'Scenario B'!$I$10</f>
        <v>0</v>
      </c>
      <c r="S20" s="60">
        <f>'Base Case'!S20*'Scenario B'!$I$13</f>
        <v>0</v>
      </c>
      <c r="T20" s="69">
        <f>'Base Case'!$T20</f>
        <v>1</v>
      </c>
      <c r="U20" s="70">
        <f t="shared" si="0"/>
        <v>360000</v>
      </c>
      <c r="V20" s="71">
        <f t="shared" si="1"/>
        <v>360000</v>
      </c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</row>
    <row r="21" spans="1:57" ht="13.15" x14ac:dyDescent="0.4">
      <c r="A21" s="46"/>
      <c r="B21" s="46"/>
      <c r="C21" s="47"/>
      <c r="D21" s="48"/>
      <c r="E21" s="48"/>
      <c r="F21" s="48"/>
      <c r="G21" s="48"/>
      <c r="H21" s="48"/>
      <c r="I21" s="64">
        <f>INDEX(Inputs!$J$64:$J$66,MATCH('Scenario B'!J21,Inputs!$D$64:$D$66,0))</f>
        <v>3</v>
      </c>
      <c r="J21" s="96" t="s">
        <v>40</v>
      </c>
      <c r="K21" s="97" t="str">
        <f>'Base Case'!K21</f>
        <v>Damage to telecommunications</v>
      </c>
      <c r="L21" s="98"/>
      <c r="M21" s="98"/>
      <c r="N21" s="99"/>
      <c r="O21" s="60">
        <v>0</v>
      </c>
      <c r="P21" s="60">
        <v>0</v>
      </c>
      <c r="Q21" s="60">
        <f>'Base Case'!Q21*'Scenario B'!$I$11</f>
        <v>450000</v>
      </c>
      <c r="R21" s="60">
        <f>'Base Case'!R21*'Scenario B'!$I$10</f>
        <v>0</v>
      </c>
      <c r="S21" s="60">
        <f>'Base Case'!S21*'Scenario B'!$I$13</f>
        <v>0</v>
      </c>
      <c r="T21" s="69">
        <f>'Base Case'!$T21</f>
        <v>0.2</v>
      </c>
      <c r="U21" s="70">
        <f t="shared" si="0"/>
        <v>90000</v>
      </c>
      <c r="V21" s="71">
        <f t="shared" si="1"/>
        <v>90000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ht="13.15" x14ac:dyDescent="0.4">
      <c r="A22" s="46"/>
      <c r="B22" s="46"/>
      <c r="C22" s="47"/>
      <c r="D22" s="48"/>
      <c r="E22" s="48"/>
      <c r="F22" s="48"/>
      <c r="G22" s="48"/>
      <c r="H22" s="48"/>
      <c r="I22" s="64">
        <f>INDEX(Inputs!$J$64:$J$66,MATCH('Scenario B'!J22,Inputs!$D$64:$D$66,0))</f>
        <v>3</v>
      </c>
      <c r="J22" s="96" t="s">
        <v>40</v>
      </c>
      <c r="K22" s="97" t="str">
        <f>'Base Case'!K22</f>
        <v>[Spare]</v>
      </c>
      <c r="L22" s="98"/>
      <c r="M22" s="98"/>
      <c r="N22" s="99"/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9">
        <f>'Base Case'!$T22</f>
        <v>0</v>
      </c>
      <c r="U22" s="70">
        <f t="shared" si="0"/>
        <v>0</v>
      </c>
      <c r="V22" s="71">
        <f t="shared" si="1"/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</row>
    <row r="23" spans="1:57" ht="13.15" x14ac:dyDescent="0.4">
      <c r="A23" s="46"/>
      <c r="B23" s="46"/>
      <c r="C23" s="47"/>
      <c r="D23" s="48"/>
      <c r="E23" s="48"/>
      <c r="F23" s="48"/>
      <c r="G23" s="48"/>
      <c r="H23" s="48"/>
      <c r="I23" s="64">
        <f>INDEX(Inputs!$J$64:$J$66,MATCH('Scenario B'!J23,Inputs!$D$64:$D$66,0))</f>
        <v>3</v>
      </c>
      <c r="J23" s="96" t="s">
        <v>40</v>
      </c>
      <c r="K23" s="97" t="str">
        <f>'Base Case'!K23</f>
        <v>[Spare]</v>
      </c>
      <c r="L23" s="98"/>
      <c r="M23" s="98"/>
      <c r="N23" s="99"/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9">
        <f>'Base Case'!$T23</f>
        <v>0</v>
      </c>
      <c r="U23" s="70">
        <f t="shared" si="0"/>
        <v>0</v>
      </c>
      <c r="V23" s="71">
        <f t="shared" si="1"/>
        <v>0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ht="13.15" x14ac:dyDescent="0.4">
      <c r="A24" s="46"/>
      <c r="B24" s="46"/>
      <c r="C24" s="47"/>
      <c r="D24" s="48"/>
      <c r="E24" s="48"/>
      <c r="F24" s="48"/>
      <c r="G24" s="48"/>
      <c r="H24" s="48"/>
      <c r="I24" s="64">
        <f>INDEX(Inputs!$J$64:$J$66,MATCH('Scenario B'!J24,Inputs!$D$64:$D$66,0))</f>
        <v>3</v>
      </c>
      <c r="J24" s="105" t="s">
        <v>40</v>
      </c>
      <c r="K24" s="106" t="str">
        <f>'Base Case'!K24</f>
        <v>[Spare]</v>
      </c>
      <c r="L24" s="107"/>
      <c r="M24" s="107"/>
      <c r="N24" s="108"/>
      <c r="O24" s="65">
        <v>0</v>
      </c>
      <c r="P24" s="109">
        <v>0</v>
      </c>
      <c r="Q24" s="109">
        <v>0</v>
      </c>
      <c r="R24" s="109">
        <v>0</v>
      </c>
      <c r="S24" s="110">
        <v>0</v>
      </c>
      <c r="T24" s="69">
        <f>'Base Case'!$T24</f>
        <v>0</v>
      </c>
      <c r="U24" s="70">
        <f t="shared" si="0"/>
        <v>0</v>
      </c>
      <c r="V24" s="71">
        <f t="shared" si="1"/>
        <v>0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</row>
    <row r="25" spans="1:57" ht="13.15" x14ac:dyDescent="0.4">
      <c r="A25" s="46"/>
      <c r="B25" s="46"/>
      <c r="C25" s="47"/>
      <c r="D25" s="48"/>
      <c r="E25" s="48"/>
      <c r="F25" s="48"/>
      <c r="G25" s="48"/>
      <c r="H25" s="48"/>
      <c r="I25" s="64">
        <f>INDEX(Inputs!$J$64:$J$66,MATCH('Scenario B'!J25,Inputs!$D$64:$D$66,0))</f>
        <v>3</v>
      </c>
      <c r="J25" s="96" t="s">
        <v>40</v>
      </c>
      <c r="K25" s="97" t="str">
        <f>'Base Case'!K25</f>
        <v>[Spare]</v>
      </c>
      <c r="L25" s="98"/>
      <c r="M25" s="98"/>
      <c r="N25" s="99"/>
      <c r="O25" s="65">
        <v>0</v>
      </c>
      <c r="P25" s="67">
        <v>0</v>
      </c>
      <c r="Q25" s="67">
        <v>0</v>
      </c>
      <c r="R25" s="67">
        <v>0</v>
      </c>
      <c r="S25" s="68">
        <v>0</v>
      </c>
      <c r="T25" s="69">
        <f>'Base Case'!$T25</f>
        <v>0</v>
      </c>
      <c r="U25" s="70">
        <f t="shared" si="0"/>
        <v>0</v>
      </c>
      <c r="V25" s="71">
        <f t="shared" si="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</row>
    <row r="26" spans="1:57" ht="13.15" x14ac:dyDescent="0.4">
      <c r="A26" s="46"/>
      <c r="B26" s="46"/>
      <c r="C26" s="47"/>
      <c r="D26" s="48"/>
      <c r="E26" s="48"/>
      <c r="F26" s="48"/>
      <c r="G26" s="48"/>
      <c r="H26" s="48"/>
      <c r="I26" s="72">
        <f>INDEX(Inputs!$J$64:$J$66,MATCH('Scenario B'!J26,Inputs!$D$64:$D$66,0))</f>
        <v>3</v>
      </c>
      <c r="J26" s="100" t="s">
        <v>40</v>
      </c>
      <c r="K26" s="101" t="str">
        <f>'Base Case'!K26</f>
        <v>[Spare]</v>
      </c>
      <c r="L26" s="102"/>
      <c r="M26" s="102"/>
      <c r="N26" s="103"/>
      <c r="O26" s="73">
        <v>0</v>
      </c>
      <c r="P26" s="74">
        <v>0</v>
      </c>
      <c r="Q26" s="74">
        <v>0</v>
      </c>
      <c r="R26" s="74">
        <v>0</v>
      </c>
      <c r="S26" s="75">
        <v>0</v>
      </c>
      <c r="T26" s="117">
        <f>'Base Case'!$T26</f>
        <v>0</v>
      </c>
      <c r="U26" s="76">
        <f t="shared" si="0"/>
        <v>0</v>
      </c>
      <c r="V26" s="77">
        <f t="shared" si="1"/>
        <v>0</v>
      </c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</row>
    <row r="27" spans="1:57" ht="13.15" x14ac:dyDescent="0.4">
      <c r="A27" s="46"/>
      <c r="B27" s="46"/>
      <c r="C27" s="47"/>
      <c r="D27" s="48"/>
      <c r="E27" s="48"/>
      <c r="F27" s="48"/>
      <c r="G27" s="48"/>
      <c r="H27" s="48"/>
      <c r="I27" s="59">
        <f>INDEX(Inputs!$J$64:$J$66,MATCH('Scenario B'!J27,Inputs!$D$64:$D$66,0))</f>
        <v>2</v>
      </c>
      <c r="J27" s="92" t="s">
        <v>39</v>
      </c>
      <c r="K27" s="93" t="str">
        <f>'Base Case'!K27</f>
        <v>Expected average unserved energy @ VCR</v>
      </c>
      <c r="L27" s="94"/>
      <c r="M27" s="94"/>
      <c r="N27" s="95"/>
      <c r="O27" s="60">
        <f>'Base Case'!O27*'Scenario B'!$I$13</f>
        <v>450000</v>
      </c>
      <c r="P27" s="60">
        <v>0</v>
      </c>
      <c r="Q27" s="60">
        <f>'Base Case'!Q27*'Scenario B'!$I$11</f>
        <v>0</v>
      </c>
      <c r="R27" s="60">
        <f>'Base Case'!R27*'Scenario B'!$I$10</f>
        <v>0</v>
      </c>
      <c r="S27" s="60">
        <f>'Base Case'!S27*'Scenario B'!$I$13</f>
        <v>0</v>
      </c>
      <c r="T27" s="116">
        <f>'Base Case'!$T27</f>
        <v>1</v>
      </c>
      <c r="U27" s="60">
        <f t="shared" si="0"/>
        <v>450000</v>
      </c>
      <c r="V27" s="63">
        <f t="shared" si="1"/>
        <v>0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</row>
    <row r="28" spans="1:57" ht="13.15" x14ac:dyDescent="0.4">
      <c r="A28" s="46"/>
      <c r="B28" s="46"/>
      <c r="C28" s="47"/>
      <c r="D28" s="48"/>
      <c r="E28" s="48"/>
      <c r="F28" s="48"/>
      <c r="G28" s="48"/>
      <c r="H28" s="48"/>
      <c r="I28" s="64">
        <f>INDEX(Inputs!$J$64:$J$66,MATCH('Scenario B'!J28,Inputs!$D$64:$D$66,0))</f>
        <v>2</v>
      </c>
      <c r="J28" s="96" t="s">
        <v>39</v>
      </c>
      <c r="K28" s="97" t="str">
        <f>'Base Case'!K28</f>
        <v>Safety consequence</v>
      </c>
      <c r="L28" s="98"/>
      <c r="M28" s="98"/>
      <c r="N28" s="99"/>
      <c r="O28" s="60">
        <v>0</v>
      </c>
      <c r="P28" s="60">
        <f>'Base Case'!P28</f>
        <v>14280000.000000002</v>
      </c>
      <c r="Q28" s="60">
        <f>'Base Case'!Q28*'Scenario B'!$I$11</f>
        <v>0</v>
      </c>
      <c r="R28" s="60">
        <f>'Base Case'!R28*'Scenario B'!$I$10</f>
        <v>0</v>
      </c>
      <c r="S28" s="60">
        <f>'Base Case'!S28*'Scenario B'!$I$13</f>
        <v>0</v>
      </c>
      <c r="T28" s="69">
        <f>'Base Case'!$T28</f>
        <v>0.2</v>
      </c>
      <c r="U28" s="70">
        <f t="shared" si="0"/>
        <v>2856000.0000000005</v>
      </c>
      <c r="V28" s="71">
        <f t="shared" si="1"/>
        <v>2856000.0000000005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</row>
    <row r="29" spans="1:57" ht="13.15" x14ac:dyDescent="0.4">
      <c r="A29" s="46"/>
      <c r="B29" s="46"/>
      <c r="C29" s="47"/>
      <c r="D29" s="48"/>
      <c r="E29" s="48"/>
      <c r="F29" s="48"/>
      <c r="G29" s="48"/>
      <c r="H29" s="48"/>
      <c r="I29" s="64">
        <f>INDEX(Inputs!$J$64:$J$66,MATCH('Scenario B'!J29,Inputs!$D$64:$D$66,0))</f>
        <v>2</v>
      </c>
      <c r="J29" s="96" t="s">
        <v>39</v>
      </c>
      <c r="K29" s="97" t="str">
        <f>'Base Case'!K29</f>
        <v>Pit repair cost</v>
      </c>
      <c r="L29" s="98"/>
      <c r="M29" s="98"/>
      <c r="N29" s="99"/>
      <c r="O29" s="60">
        <v>0</v>
      </c>
      <c r="P29" s="60">
        <v>0</v>
      </c>
      <c r="Q29" s="60">
        <f>'Base Case'!Q29*'Scenario B'!$I$11</f>
        <v>0</v>
      </c>
      <c r="R29" s="60">
        <f>'Base Case'!R29*'Scenario B'!$I$10</f>
        <v>450000</v>
      </c>
      <c r="S29" s="60">
        <f>'Base Case'!S29*'Scenario B'!$I$13</f>
        <v>0</v>
      </c>
      <c r="T29" s="69">
        <f>'Base Case'!$T29</f>
        <v>1</v>
      </c>
      <c r="U29" s="70">
        <f t="shared" si="0"/>
        <v>450000</v>
      </c>
      <c r="V29" s="71">
        <f t="shared" si="1"/>
        <v>450000</v>
      </c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ht="13.15" x14ac:dyDescent="0.4">
      <c r="A30" s="46"/>
      <c r="B30" s="46"/>
      <c r="C30" s="47"/>
      <c r="D30" s="48"/>
      <c r="E30" s="48"/>
      <c r="F30" s="48"/>
      <c r="G30" s="48"/>
      <c r="H30" s="48"/>
      <c r="I30" s="64">
        <f>INDEX(Inputs!$J$64:$J$66,MATCH('Scenario B'!J30,Inputs!$D$64:$D$66,0))</f>
        <v>2</v>
      </c>
      <c r="J30" s="96" t="s">
        <v>39</v>
      </c>
      <c r="K30" s="97" t="str">
        <f>'Base Case'!K30</f>
        <v>Electrical Asset repair</v>
      </c>
      <c r="L30" s="98"/>
      <c r="M30" s="98"/>
      <c r="N30" s="99"/>
      <c r="O30" s="60">
        <v>0</v>
      </c>
      <c r="P30" s="60">
        <v>0</v>
      </c>
      <c r="Q30" s="60">
        <f>'Base Case'!Q30*'Scenario B'!$I$11</f>
        <v>360000</v>
      </c>
      <c r="R30" s="60">
        <f>'Base Case'!R30*'Scenario B'!$I$10</f>
        <v>0</v>
      </c>
      <c r="S30" s="60">
        <f>'Base Case'!S30*'Scenario B'!$I$13</f>
        <v>0</v>
      </c>
      <c r="T30" s="69">
        <f>'Base Case'!$T30</f>
        <v>1</v>
      </c>
      <c r="U30" s="70">
        <f t="shared" si="0"/>
        <v>360000</v>
      </c>
      <c r="V30" s="71">
        <f t="shared" si="1"/>
        <v>360000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</row>
    <row r="31" spans="1:57" ht="13.15" x14ac:dyDescent="0.4">
      <c r="A31" s="46"/>
      <c r="B31" s="46"/>
      <c r="C31" s="47"/>
      <c r="D31" s="48"/>
      <c r="E31" s="48"/>
      <c r="F31" s="48"/>
      <c r="G31" s="48"/>
      <c r="H31" s="48"/>
      <c r="I31" s="64">
        <f>INDEX(Inputs!$J$64:$J$66,MATCH('Scenario B'!J31,Inputs!$D$64:$D$66,0))</f>
        <v>2</v>
      </c>
      <c r="J31" s="96" t="s">
        <v>39</v>
      </c>
      <c r="K31" s="97" t="str">
        <f>'Base Case'!K31</f>
        <v>Damage to telecommunications</v>
      </c>
      <c r="L31" s="98"/>
      <c r="M31" s="98"/>
      <c r="N31" s="99"/>
      <c r="O31" s="60">
        <v>0</v>
      </c>
      <c r="P31" s="60">
        <v>0</v>
      </c>
      <c r="Q31" s="60">
        <f>'Base Case'!Q31*'Scenario B'!$I$11</f>
        <v>450000</v>
      </c>
      <c r="R31" s="60">
        <f>'Base Case'!R31*'Scenario B'!$I$10</f>
        <v>0</v>
      </c>
      <c r="S31" s="60">
        <f>'Base Case'!S31*'Scenario B'!$I$13</f>
        <v>0</v>
      </c>
      <c r="T31" s="69">
        <f>'Base Case'!$T31</f>
        <v>0.2</v>
      </c>
      <c r="U31" s="70">
        <f t="shared" si="0"/>
        <v>90000</v>
      </c>
      <c r="V31" s="71">
        <f t="shared" si="1"/>
        <v>90000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</row>
    <row r="32" spans="1:57" ht="13.15" x14ac:dyDescent="0.4">
      <c r="A32" s="46"/>
      <c r="B32" s="46"/>
      <c r="C32" s="47"/>
      <c r="D32" s="48"/>
      <c r="E32" s="48"/>
      <c r="F32" s="48"/>
      <c r="G32" s="48"/>
      <c r="H32" s="48"/>
      <c r="I32" s="64">
        <f>INDEX(Inputs!$J$64:$J$66,MATCH('Scenario B'!J32,Inputs!$D$64:$D$66,0))</f>
        <v>2</v>
      </c>
      <c r="J32" s="96" t="s">
        <v>39</v>
      </c>
      <c r="K32" s="97" t="str">
        <f>'Base Case'!K32</f>
        <v>[Spare]</v>
      </c>
      <c r="L32" s="98"/>
      <c r="M32" s="98"/>
      <c r="N32" s="99"/>
      <c r="O32" s="60">
        <v>0</v>
      </c>
      <c r="P32" s="60">
        <v>0</v>
      </c>
      <c r="Q32" s="60">
        <f>Inputs!$K$97*$I$11</f>
        <v>0</v>
      </c>
      <c r="R32" s="60">
        <v>0</v>
      </c>
      <c r="S32" s="60">
        <v>0</v>
      </c>
      <c r="T32" s="69">
        <f>'Base Case'!$T32</f>
        <v>0</v>
      </c>
      <c r="U32" s="70">
        <f t="shared" si="0"/>
        <v>0</v>
      </c>
      <c r="V32" s="71">
        <f t="shared" si="1"/>
        <v>0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</row>
    <row r="33" spans="1:57" ht="13.15" x14ac:dyDescent="0.4">
      <c r="A33" s="46"/>
      <c r="B33" s="46"/>
      <c r="C33" s="47"/>
      <c r="D33" s="48"/>
      <c r="E33" s="48"/>
      <c r="F33" s="48"/>
      <c r="G33" s="48"/>
      <c r="H33" s="48"/>
      <c r="I33" s="64">
        <f>INDEX(Inputs!$J$64:$J$66,MATCH('Scenario B'!J33,Inputs!$D$64:$D$66,0))</f>
        <v>2</v>
      </c>
      <c r="J33" s="96" t="s">
        <v>39</v>
      </c>
      <c r="K33" s="97" t="str">
        <f>'Base Case'!K33</f>
        <v>[Spare]</v>
      </c>
      <c r="L33" s="98"/>
      <c r="M33" s="98"/>
      <c r="N33" s="99"/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9">
        <f>'Base Case'!$T33</f>
        <v>0</v>
      </c>
      <c r="U33" s="70">
        <f t="shared" si="0"/>
        <v>0</v>
      </c>
      <c r="V33" s="71">
        <f t="shared" si="1"/>
        <v>0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</row>
    <row r="34" spans="1:57" ht="13.15" x14ac:dyDescent="0.4">
      <c r="A34" s="46"/>
      <c r="B34" s="46"/>
      <c r="C34" s="47"/>
      <c r="D34" s="48"/>
      <c r="E34" s="48"/>
      <c r="F34" s="48"/>
      <c r="G34" s="48"/>
      <c r="H34" s="48"/>
      <c r="I34" s="64">
        <f>INDEX(Inputs!$J$64:$J$66,MATCH('Scenario B'!J34,Inputs!$D$64:$D$66,0))</f>
        <v>2</v>
      </c>
      <c r="J34" s="105" t="s">
        <v>39</v>
      </c>
      <c r="K34" s="106" t="str">
        <f>'Base Case'!K34</f>
        <v>[Spare]</v>
      </c>
      <c r="L34" s="107"/>
      <c r="M34" s="107"/>
      <c r="N34" s="108"/>
      <c r="O34" s="65">
        <v>0</v>
      </c>
      <c r="P34" s="109">
        <v>0</v>
      </c>
      <c r="Q34" s="109">
        <f>Inputs!$L$161*$I$11</f>
        <v>0</v>
      </c>
      <c r="R34" s="109">
        <v>0</v>
      </c>
      <c r="S34" s="110">
        <v>0</v>
      </c>
      <c r="T34" s="69">
        <f>'Base Case'!$T34</f>
        <v>0</v>
      </c>
      <c r="U34" s="70">
        <f t="shared" si="0"/>
        <v>0</v>
      </c>
      <c r="V34" s="71">
        <f t="shared" si="1"/>
        <v>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</row>
    <row r="35" spans="1:57" ht="13.15" x14ac:dyDescent="0.4">
      <c r="A35" s="46"/>
      <c r="B35" s="46"/>
      <c r="C35" s="47"/>
      <c r="D35" s="48"/>
      <c r="E35" s="48"/>
      <c r="F35" s="48"/>
      <c r="G35" s="48"/>
      <c r="H35" s="48"/>
      <c r="I35" s="64">
        <f>INDEX(Inputs!$J$64:$J$66,MATCH('Scenario B'!J35,Inputs!$D$64:$D$66,0))</f>
        <v>2</v>
      </c>
      <c r="J35" s="96" t="s">
        <v>39</v>
      </c>
      <c r="K35" s="97" t="str">
        <f>'Base Case'!K35</f>
        <v>[Spare]</v>
      </c>
      <c r="L35" s="98"/>
      <c r="M35" s="98"/>
      <c r="N35" s="99"/>
      <c r="O35" s="65">
        <v>0</v>
      </c>
      <c r="P35" s="67">
        <v>0</v>
      </c>
      <c r="Q35" s="67">
        <v>0</v>
      </c>
      <c r="R35" s="67">
        <v>0</v>
      </c>
      <c r="S35" s="68">
        <v>0</v>
      </c>
      <c r="T35" s="69">
        <f>'Base Case'!$T35</f>
        <v>0</v>
      </c>
      <c r="U35" s="70">
        <f t="shared" si="0"/>
        <v>0</v>
      </c>
      <c r="V35" s="71">
        <f t="shared" si="1"/>
        <v>0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</row>
    <row r="36" spans="1:57" ht="13.15" x14ac:dyDescent="0.4">
      <c r="A36" s="46"/>
      <c r="B36" s="46"/>
      <c r="C36" s="47"/>
      <c r="D36" s="48"/>
      <c r="E36" s="48"/>
      <c r="F36" s="48"/>
      <c r="G36" s="48"/>
      <c r="H36" s="48"/>
      <c r="I36" s="72">
        <f>INDEX(Inputs!$J$64:$J$66,MATCH('Scenario B'!J36,Inputs!$D$64:$D$66,0))</f>
        <v>2</v>
      </c>
      <c r="J36" s="100" t="s">
        <v>39</v>
      </c>
      <c r="K36" s="101" t="str">
        <f>'Base Case'!K36</f>
        <v>[Spare]</v>
      </c>
      <c r="L36" s="102"/>
      <c r="M36" s="102"/>
      <c r="N36" s="103"/>
      <c r="O36" s="73">
        <v>0</v>
      </c>
      <c r="P36" s="74">
        <v>0</v>
      </c>
      <c r="Q36" s="74">
        <v>0</v>
      </c>
      <c r="R36" s="74">
        <v>0</v>
      </c>
      <c r="S36" s="75">
        <v>0</v>
      </c>
      <c r="T36" s="117">
        <f>'Base Case'!$T36</f>
        <v>0</v>
      </c>
      <c r="U36" s="76">
        <f t="shared" si="0"/>
        <v>0</v>
      </c>
      <c r="V36" s="77">
        <f t="shared" si="1"/>
        <v>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</row>
    <row r="37" spans="1:57" ht="13.15" x14ac:dyDescent="0.4">
      <c r="A37" s="46"/>
      <c r="B37" s="46"/>
      <c r="C37" s="47"/>
      <c r="D37" s="48"/>
      <c r="E37" s="48"/>
      <c r="F37" s="48"/>
      <c r="G37" s="48"/>
      <c r="H37" s="48"/>
      <c r="I37" s="59">
        <f>INDEX(Inputs!$J$64:$J$66,MATCH('Scenario B'!J37,Inputs!$D$64:$D$66,0))</f>
        <v>1</v>
      </c>
      <c r="J37" s="92" t="s">
        <v>38</v>
      </c>
      <c r="K37" s="93" t="str">
        <f>'Base Case'!K37</f>
        <v>Safety consequence - pulling eyes</v>
      </c>
      <c r="L37" s="94"/>
      <c r="M37" s="94"/>
      <c r="N37" s="95"/>
      <c r="O37" s="60">
        <f>'Base Case'!O37*'Scenario B'!$I$13</f>
        <v>0</v>
      </c>
      <c r="P37" s="60">
        <f>'Base Case'!P37</f>
        <v>500000</v>
      </c>
      <c r="Q37" s="60">
        <f>'Base Case'!Q37*'Scenario B'!$I$11</f>
        <v>0</v>
      </c>
      <c r="R37" s="60">
        <f>'Base Case'!R37*'Scenario B'!$I$10</f>
        <v>0</v>
      </c>
      <c r="S37" s="60">
        <v>0</v>
      </c>
      <c r="T37" s="116">
        <f>'Base Case'!$T37</f>
        <v>0.5</v>
      </c>
      <c r="U37" s="60">
        <f t="shared" si="0"/>
        <v>250000</v>
      </c>
      <c r="V37" s="63">
        <f t="shared" si="1"/>
        <v>250000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</row>
    <row r="38" spans="1:57" ht="13.15" x14ac:dyDescent="0.4">
      <c r="A38" s="46"/>
      <c r="B38" s="46"/>
      <c r="C38" s="47"/>
      <c r="D38" s="48"/>
      <c r="E38" s="48"/>
      <c r="F38" s="48"/>
      <c r="G38" s="48"/>
      <c r="H38" s="48"/>
      <c r="I38" s="72">
        <f>INDEX(Inputs!$J$64:$J$66,MATCH('Scenario B'!J38,Inputs!$D$64:$D$66,0))</f>
        <v>1</v>
      </c>
      <c r="J38" s="100" t="s">
        <v>38</v>
      </c>
      <c r="K38" s="101" t="str">
        <f>'Base Case'!K38</f>
        <v>Pit section repair cost</v>
      </c>
      <c r="L38" s="102"/>
      <c r="M38" s="102"/>
      <c r="N38" s="103"/>
      <c r="O38" s="76">
        <v>0</v>
      </c>
      <c r="P38" s="76">
        <v>0</v>
      </c>
      <c r="Q38" s="76">
        <f>'Base Case'!Q38*'Scenario B'!$I$11</f>
        <v>0</v>
      </c>
      <c r="R38" s="76">
        <f>'Base Case'!R38*'Scenario B'!$I$10</f>
        <v>45000</v>
      </c>
      <c r="S38" s="76">
        <v>0</v>
      </c>
      <c r="T38" s="117">
        <f>'Base Case'!$T38</f>
        <v>1</v>
      </c>
      <c r="U38" s="76">
        <f t="shared" si="0"/>
        <v>45000</v>
      </c>
      <c r="V38" s="77">
        <f t="shared" si="1"/>
        <v>45000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</row>
    <row r="39" spans="1:57" ht="13.15" x14ac:dyDescent="0.4">
      <c r="A39" s="46"/>
      <c r="B39" s="46"/>
      <c r="C39" s="47"/>
      <c r="D39" s="48"/>
      <c r="E39" s="48"/>
      <c r="F39" s="48"/>
      <c r="G39" s="48"/>
      <c r="H39" s="48"/>
      <c r="I39" s="59">
        <f>INDEX(Inputs!$J$64:$J$66,MATCH('Scenario B'!J39,Inputs!$D$64:$D$66,0))</f>
        <v>1</v>
      </c>
      <c r="J39" s="92" t="s">
        <v>38</v>
      </c>
      <c r="K39" s="93" t="str">
        <f>'Base Case'!K39</f>
        <v>Safety consequence - ladder supports</v>
      </c>
      <c r="L39" s="94"/>
      <c r="M39" s="94"/>
      <c r="N39" s="95"/>
      <c r="O39" s="60">
        <v>0</v>
      </c>
      <c r="P39" s="60">
        <f>'Base Case'!P39</f>
        <v>500000</v>
      </c>
      <c r="Q39" s="60">
        <f>'Base Case'!Q39*'Scenario B'!$I$11</f>
        <v>0</v>
      </c>
      <c r="R39" s="60">
        <f>'Base Case'!R39*'Scenario B'!$I$10</f>
        <v>0</v>
      </c>
      <c r="S39" s="60">
        <v>0</v>
      </c>
      <c r="T39" s="116">
        <f>'Base Case'!$T39</f>
        <v>0.8</v>
      </c>
      <c r="U39" s="60">
        <f t="shared" si="0"/>
        <v>400000</v>
      </c>
      <c r="V39" s="63">
        <f t="shared" si="1"/>
        <v>400000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</row>
    <row r="40" spans="1:57" ht="13.15" x14ac:dyDescent="0.4">
      <c r="A40" s="46"/>
      <c r="B40" s="46"/>
      <c r="C40" s="47"/>
      <c r="D40" s="48"/>
      <c r="E40" s="48"/>
      <c r="F40" s="48"/>
      <c r="G40" s="48"/>
      <c r="H40" s="48"/>
      <c r="I40" s="64">
        <f>INDEX(Inputs!$J$64:$J$66,MATCH('Scenario B'!J40,Inputs!$D$64:$D$66,0))</f>
        <v>1</v>
      </c>
      <c r="J40" s="96" t="s">
        <v>38</v>
      </c>
      <c r="K40" s="97" t="str">
        <f>'Base Case'!K40</f>
        <v>Pit section repair cost</v>
      </c>
      <c r="L40" s="98"/>
      <c r="M40" s="98"/>
      <c r="N40" s="99"/>
      <c r="O40" s="60">
        <v>0</v>
      </c>
      <c r="P40" s="60">
        <v>0</v>
      </c>
      <c r="Q40" s="60">
        <f>'Base Case'!Q40*'Scenario B'!$I$11</f>
        <v>0</v>
      </c>
      <c r="R40" s="60">
        <f>'Base Case'!R40*'Scenario B'!$I$10</f>
        <v>45000</v>
      </c>
      <c r="S40" s="60">
        <v>0</v>
      </c>
      <c r="T40" s="69">
        <f>'Base Case'!$T40</f>
        <v>1</v>
      </c>
      <c r="U40" s="70">
        <f t="shared" si="0"/>
        <v>45000</v>
      </c>
      <c r="V40" s="71">
        <f t="shared" si="1"/>
        <v>45000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</row>
    <row r="41" spans="1:57" ht="13.15" x14ac:dyDescent="0.4">
      <c r="A41" s="46"/>
      <c r="B41" s="46"/>
      <c r="C41" s="47"/>
      <c r="D41" s="48"/>
      <c r="E41" s="48"/>
      <c r="F41" s="48"/>
      <c r="G41" s="48"/>
      <c r="H41" s="48"/>
      <c r="I41" s="64">
        <f>INDEX(Inputs!$J$64:$J$66,MATCH('Scenario B'!J41,Inputs!$D$64:$D$66,0))</f>
        <v>1</v>
      </c>
      <c r="J41" s="96" t="s">
        <v>38</v>
      </c>
      <c r="K41" s="97" t="str">
        <f>'Base Case'!K41</f>
        <v>[Spare]</v>
      </c>
      <c r="L41" s="98"/>
      <c r="M41" s="98"/>
      <c r="N41" s="99"/>
      <c r="O41" s="60">
        <v>0</v>
      </c>
      <c r="P41" s="60">
        <v>0</v>
      </c>
      <c r="Q41" s="60">
        <f>'Base Case'!Q41*'Scenario B'!$I$11</f>
        <v>0</v>
      </c>
      <c r="R41" s="60">
        <f>'Base Case'!R41*'Scenario B'!$I$10</f>
        <v>0</v>
      </c>
      <c r="S41" s="60">
        <f>Inputs!$J$105*$I$14</f>
        <v>0</v>
      </c>
      <c r="T41" s="69">
        <f>'Base Case'!$T41</f>
        <v>0</v>
      </c>
      <c r="U41" s="70">
        <f t="shared" si="0"/>
        <v>0</v>
      </c>
      <c r="V41" s="71">
        <f t="shared" si="1"/>
        <v>0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</row>
    <row r="42" spans="1:57" ht="13.15" x14ac:dyDescent="0.4">
      <c r="A42" s="46"/>
      <c r="B42" s="46"/>
      <c r="C42" s="47"/>
      <c r="D42" s="48"/>
      <c r="E42" s="48"/>
      <c r="F42" s="48"/>
      <c r="G42" s="48"/>
      <c r="H42" s="48"/>
      <c r="I42" s="64">
        <f>INDEX(Inputs!$J$64:$J$66,MATCH('Scenario B'!J42,Inputs!$D$64:$D$66,0))</f>
        <v>1</v>
      </c>
      <c r="J42" s="96" t="s">
        <v>38</v>
      </c>
      <c r="K42" s="97" t="str">
        <f>'Base Case'!K42</f>
        <v>[Spare]</v>
      </c>
      <c r="L42" s="98"/>
      <c r="M42" s="98"/>
      <c r="N42" s="99"/>
      <c r="O42" s="60">
        <v>0</v>
      </c>
      <c r="P42" s="60">
        <v>0</v>
      </c>
      <c r="Q42" s="60">
        <f>Inputs!$K$97*$I$11</f>
        <v>0</v>
      </c>
      <c r="R42" s="60">
        <v>0</v>
      </c>
      <c r="S42" s="60">
        <v>0</v>
      </c>
      <c r="T42" s="69">
        <f>'Base Case'!$T42</f>
        <v>0</v>
      </c>
      <c r="U42" s="70">
        <f t="shared" si="0"/>
        <v>0</v>
      </c>
      <c r="V42" s="71">
        <f t="shared" si="1"/>
        <v>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</row>
    <row r="43" spans="1:57" ht="13.15" x14ac:dyDescent="0.4">
      <c r="A43" s="46"/>
      <c r="B43" s="46"/>
      <c r="C43" s="47"/>
      <c r="D43" s="48"/>
      <c r="E43" s="48"/>
      <c r="F43" s="48"/>
      <c r="G43" s="48"/>
      <c r="H43" s="48"/>
      <c r="I43" s="64">
        <f>INDEX(Inputs!$J$64:$J$66,MATCH('Scenario B'!J43,Inputs!$D$64:$D$66,0))</f>
        <v>1</v>
      </c>
      <c r="J43" s="96" t="s">
        <v>38</v>
      </c>
      <c r="K43" s="97" t="str">
        <f>'Base Case'!K43</f>
        <v>[Spare]</v>
      </c>
      <c r="L43" s="98"/>
      <c r="M43" s="98"/>
      <c r="N43" s="99"/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9">
        <f>'Base Case'!$T43</f>
        <v>0</v>
      </c>
      <c r="U43" s="70">
        <f t="shared" si="0"/>
        <v>0</v>
      </c>
      <c r="V43" s="71">
        <f t="shared" si="1"/>
        <v>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</row>
    <row r="44" spans="1:57" ht="13.15" x14ac:dyDescent="0.4">
      <c r="A44" s="46"/>
      <c r="B44" s="46"/>
      <c r="C44" s="47"/>
      <c r="D44" s="48"/>
      <c r="E44" s="48"/>
      <c r="F44" s="48"/>
      <c r="G44" s="48"/>
      <c r="H44" s="48"/>
      <c r="I44" s="64">
        <f>INDEX(Inputs!$J$64:$J$66,MATCH('Scenario B'!J44,Inputs!$D$64:$D$66,0))</f>
        <v>1</v>
      </c>
      <c r="J44" s="105" t="s">
        <v>38</v>
      </c>
      <c r="K44" s="106" t="str">
        <f>'Base Case'!K44</f>
        <v>[Spare]</v>
      </c>
      <c r="L44" s="107"/>
      <c r="M44" s="107"/>
      <c r="N44" s="108"/>
      <c r="O44" s="65">
        <v>0</v>
      </c>
      <c r="P44" s="109">
        <v>0</v>
      </c>
      <c r="Q44" s="109">
        <f>Inputs!$L$161*$I$11</f>
        <v>0</v>
      </c>
      <c r="R44" s="109">
        <v>0</v>
      </c>
      <c r="S44" s="110">
        <v>0</v>
      </c>
      <c r="T44" s="69">
        <f>'Base Case'!$T44</f>
        <v>0</v>
      </c>
      <c r="U44" s="70">
        <f t="shared" si="0"/>
        <v>0</v>
      </c>
      <c r="V44" s="71">
        <f t="shared" si="1"/>
        <v>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</row>
    <row r="45" spans="1:57" ht="13.15" x14ac:dyDescent="0.4">
      <c r="A45" s="46"/>
      <c r="B45" s="46"/>
      <c r="C45" s="47"/>
      <c r="D45" s="48"/>
      <c r="E45" s="48"/>
      <c r="F45" s="48"/>
      <c r="G45" s="48"/>
      <c r="H45" s="48"/>
      <c r="I45" s="64">
        <f>INDEX(Inputs!$J$64:$J$66,MATCH('Scenario B'!J45,Inputs!$D$64:$D$66,0))</f>
        <v>1</v>
      </c>
      <c r="J45" s="96" t="s">
        <v>38</v>
      </c>
      <c r="K45" s="97" t="str">
        <f>'Base Case'!K45</f>
        <v>[Spare]</v>
      </c>
      <c r="L45" s="98"/>
      <c r="M45" s="98"/>
      <c r="N45" s="99"/>
      <c r="O45" s="65">
        <v>0</v>
      </c>
      <c r="P45" s="67">
        <v>0</v>
      </c>
      <c r="Q45" s="67">
        <v>0</v>
      </c>
      <c r="R45" s="67">
        <v>0</v>
      </c>
      <c r="S45" s="68">
        <v>0</v>
      </c>
      <c r="T45" s="69">
        <f>'Base Case'!$T45</f>
        <v>0</v>
      </c>
      <c r="U45" s="70">
        <f t="shared" si="0"/>
        <v>0</v>
      </c>
      <c r="V45" s="71">
        <f t="shared" si="1"/>
        <v>0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</row>
    <row r="46" spans="1:57" ht="13.15" x14ac:dyDescent="0.4">
      <c r="A46" s="46"/>
      <c r="B46" s="46"/>
      <c r="C46" s="47"/>
      <c r="D46" s="48"/>
      <c r="E46" s="48"/>
      <c r="F46" s="48"/>
      <c r="G46" s="48"/>
      <c r="H46" s="48"/>
      <c r="I46" s="72">
        <f>INDEX(Inputs!$J$64:$J$66,MATCH('Scenario B'!J46,Inputs!$D$64:$D$66,0))</f>
        <v>1</v>
      </c>
      <c r="J46" s="100" t="s">
        <v>38</v>
      </c>
      <c r="K46" s="101" t="str">
        <f>'Base Case'!K46</f>
        <v>[Spare]</v>
      </c>
      <c r="L46" s="102"/>
      <c r="M46" s="102"/>
      <c r="N46" s="103"/>
      <c r="O46" s="73">
        <v>0</v>
      </c>
      <c r="P46" s="74">
        <v>0</v>
      </c>
      <c r="Q46" s="74">
        <v>0</v>
      </c>
      <c r="R46" s="74">
        <v>0</v>
      </c>
      <c r="S46" s="75">
        <v>0</v>
      </c>
      <c r="T46" s="117">
        <f>'Base Case'!$T46</f>
        <v>0</v>
      </c>
      <c r="U46" s="76">
        <f t="shared" si="0"/>
        <v>0</v>
      </c>
      <c r="V46" s="77">
        <f t="shared" si="1"/>
        <v>0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</row>
    <row r="47" spans="1:57" ht="13.15" x14ac:dyDescent="0.4">
      <c r="A47" s="46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</row>
    <row r="48" spans="1:57" ht="13.15" x14ac:dyDescent="0.4">
      <c r="A48" s="46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7" ht="13.15" x14ac:dyDescent="0.4">
      <c r="A49" s="46"/>
      <c r="B49" s="46"/>
      <c r="C49" s="47"/>
      <c r="D49" s="48"/>
      <c r="E49" s="48"/>
      <c r="F49" s="48"/>
      <c r="G49" s="48"/>
      <c r="H49" s="48"/>
      <c r="I49" s="78">
        <f>INDEX(Inputs!$J$64:$J$66,MATCH('Scenario B'!J49,Inputs!$D$64:$D$66,0))</f>
        <v>1</v>
      </c>
      <c r="J49" s="79" t="s">
        <v>38</v>
      </c>
      <c r="K49" s="48"/>
      <c r="L49" s="48"/>
      <c r="M49" s="48"/>
      <c r="N49" s="48"/>
      <c r="O49" s="66">
        <f>SUMIF($I$17:$I$46,$I49,O$17:O$46)</f>
        <v>0</v>
      </c>
      <c r="P49" s="66">
        <f t="shared" ref="P49:V49" si="2">SUMIF($I$17:$I$46,$I49,P$17:P$46)</f>
        <v>1000000</v>
      </c>
      <c r="Q49" s="66">
        <f t="shared" si="2"/>
        <v>0</v>
      </c>
      <c r="R49" s="66">
        <f t="shared" si="2"/>
        <v>90000</v>
      </c>
      <c r="S49" s="66">
        <f t="shared" si="2"/>
        <v>0</v>
      </c>
      <c r="T49" s="53">
        <f>U49/SUM(O49:S49)</f>
        <v>0.67889908256880738</v>
      </c>
      <c r="U49" s="66">
        <f t="shared" si="2"/>
        <v>740000</v>
      </c>
      <c r="V49" s="66">
        <f t="shared" si="2"/>
        <v>740000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</row>
    <row r="50" spans="1:57" ht="13.15" x14ac:dyDescent="0.4">
      <c r="A50" s="46"/>
      <c r="B50" s="46"/>
      <c r="C50" s="47"/>
      <c r="D50" s="48"/>
      <c r="E50" s="48"/>
      <c r="F50" s="48"/>
      <c r="G50" s="48"/>
      <c r="H50" s="48"/>
      <c r="I50" s="78">
        <f>INDEX(Inputs!$J$64:$J$66,MATCH('Scenario B'!J50,Inputs!$D$64:$D$66,0))</f>
        <v>2</v>
      </c>
      <c r="J50" s="79" t="s">
        <v>39</v>
      </c>
      <c r="K50" s="48"/>
      <c r="L50" s="48"/>
      <c r="M50" s="48"/>
      <c r="N50" s="48"/>
      <c r="O50" s="66">
        <f t="shared" ref="O50:V51" si="3">SUMIF($I$17:$I$46,$I50,O$17:O$46)</f>
        <v>450000</v>
      </c>
      <c r="P50" s="66">
        <f t="shared" si="3"/>
        <v>14280000.000000002</v>
      </c>
      <c r="Q50" s="66">
        <f t="shared" si="3"/>
        <v>810000</v>
      </c>
      <c r="R50" s="66">
        <f t="shared" si="3"/>
        <v>450000</v>
      </c>
      <c r="S50" s="66">
        <f t="shared" si="3"/>
        <v>0</v>
      </c>
      <c r="T50" s="53">
        <f t="shared" ref="T50:T51" si="4">U50/SUM(O50:S50)</f>
        <v>0.26303939962476547</v>
      </c>
      <c r="U50" s="66">
        <f t="shared" si="3"/>
        <v>4206000</v>
      </c>
      <c r="V50" s="66">
        <f t="shared" si="3"/>
        <v>3756000.0000000005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</row>
    <row r="51" spans="1:57" ht="13.15" x14ac:dyDescent="0.4">
      <c r="A51" s="46"/>
      <c r="B51" s="46"/>
      <c r="C51" s="47"/>
      <c r="D51" s="48"/>
      <c r="E51" s="48"/>
      <c r="F51" s="48"/>
      <c r="G51" s="48"/>
      <c r="H51" s="48"/>
      <c r="I51" s="78">
        <f>INDEX(Inputs!$J$64:$J$66,MATCH('Scenario B'!J51,Inputs!$D$64:$D$66,0))</f>
        <v>3</v>
      </c>
      <c r="J51" s="79" t="s">
        <v>40</v>
      </c>
      <c r="K51" s="80"/>
      <c r="L51" s="80"/>
      <c r="M51" s="80"/>
      <c r="N51" s="80"/>
      <c r="O51" s="66">
        <f t="shared" si="3"/>
        <v>450000</v>
      </c>
      <c r="P51" s="66">
        <f t="shared" si="3"/>
        <v>14280000.000000002</v>
      </c>
      <c r="Q51" s="66">
        <f t="shared" si="3"/>
        <v>810000</v>
      </c>
      <c r="R51" s="66">
        <f t="shared" si="3"/>
        <v>450000</v>
      </c>
      <c r="S51" s="66">
        <f t="shared" si="3"/>
        <v>0</v>
      </c>
      <c r="T51" s="53">
        <f t="shared" si="4"/>
        <v>0.26303939962476547</v>
      </c>
      <c r="U51" s="66">
        <f t="shared" si="3"/>
        <v>4206000</v>
      </c>
      <c r="V51" s="66">
        <f t="shared" si="3"/>
        <v>3756000.0000000005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</row>
    <row r="52" spans="1:57" ht="13.15" x14ac:dyDescent="0.4">
      <c r="A52" s="46"/>
      <c r="B52" s="46"/>
      <c r="C52" s="47"/>
      <c r="D52" s="48"/>
      <c r="E52" s="48"/>
      <c r="F52" s="48"/>
      <c r="G52" s="48"/>
      <c r="H52" s="48"/>
      <c r="I52" s="80" t="s">
        <v>161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>
        <f>SUM(U49:U51)</f>
        <v>9152000</v>
      </c>
      <c r="V52" s="81">
        <f>SUM(V49:V51)</f>
        <v>8252000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</row>
    <row r="53" spans="1:57" x14ac:dyDescent="0.2">
      <c r="A53" s="46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</row>
    <row r="54" spans="1:57" x14ac:dyDescent="0.2">
      <c r="A54" s="49" t="str">
        <f>C8&amp;" "&amp;I8&amp;": PoE, Load and VCR assumptions"</f>
        <v>Scenario B: PoE, Load and VCR assumptions</v>
      </c>
      <c r="B54" s="49"/>
      <c r="C54" s="50"/>
      <c r="D54" s="51"/>
      <c r="E54" s="51"/>
      <c r="F54" s="51"/>
      <c r="G54" s="51"/>
      <c r="H54" s="51"/>
      <c r="I54" s="51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</row>
    <row r="55" spans="1:57" x14ac:dyDescent="0.2">
      <c r="A55" s="46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</row>
    <row r="56" spans="1:57" x14ac:dyDescent="0.2">
      <c r="A56" s="46"/>
      <c r="B56" s="46" t="s">
        <v>50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</row>
    <row r="57" spans="1:57" x14ac:dyDescent="0.2">
      <c r="A57" s="46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</row>
    <row r="58" spans="1:57" x14ac:dyDescent="0.2">
      <c r="A58" s="46"/>
      <c r="B58" s="46"/>
      <c r="C58" s="47" t="s">
        <v>51</v>
      </c>
      <c r="D58" s="48"/>
      <c r="E58" s="48"/>
      <c r="F58" s="48"/>
      <c r="G58" s="48"/>
      <c r="H58" s="48"/>
      <c r="I58" s="48"/>
      <c r="J58" s="82">
        <f>Inputs!J79</f>
        <v>1</v>
      </c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</row>
    <row r="59" spans="1:57" x14ac:dyDescent="0.2">
      <c r="A59" s="46"/>
      <c r="B59" s="46"/>
      <c r="C59" s="47" t="s">
        <v>52</v>
      </c>
      <c r="D59" s="48"/>
      <c r="E59" s="48"/>
      <c r="F59" s="48"/>
      <c r="G59" s="48"/>
      <c r="H59" s="48"/>
      <c r="I59" s="48"/>
      <c r="J59" s="66">
        <f>Inputs!J80</f>
        <v>0</v>
      </c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</row>
    <row r="60" spans="1:57" x14ac:dyDescent="0.2">
      <c r="A60" s="46"/>
      <c r="B60" s="46"/>
      <c r="C60" s="47"/>
      <c r="D60" s="48" t="s">
        <v>53</v>
      </c>
      <c r="E60" s="48"/>
      <c r="F60" s="48"/>
      <c r="G60" s="48"/>
      <c r="H60" s="48"/>
      <c r="I60" s="48"/>
      <c r="J60" s="66">
        <f>Inputs!J81</f>
        <v>0</v>
      </c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</row>
    <row r="61" spans="1:57" x14ac:dyDescent="0.2">
      <c r="A61" s="46"/>
      <c r="B61" s="46"/>
      <c r="C61" s="47"/>
      <c r="D61" s="48" t="s">
        <v>54</v>
      </c>
      <c r="E61" s="48"/>
      <c r="F61" s="48"/>
      <c r="G61" s="48"/>
      <c r="H61" s="48"/>
      <c r="I61" s="48"/>
      <c r="J61" s="66">
        <f>Inputs!J82</f>
        <v>0</v>
      </c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</row>
    <row r="62" spans="1:57" x14ac:dyDescent="0.2">
      <c r="A62" s="46"/>
      <c r="B62" s="46"/>
      <c r="C62" s="47"/>
      <c r="D62" s="48" t="s">
        <v>55</v>
      </c>
      <c r="E62" s="48"/>
      <c r="F62" s="48"/>
      <c r="G62" s="48"/>
      <c r="H62" s="48"/>
      <c r="I62" s="48"/>
      <c r="J62" s="66">
        <f>Inputs!J83</f>
        <v>0</v>
      </c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</row>
    <row r="63" spans="1:57" x14ac:dyDescent="0.2">
      <c r="A63" s="46"/>
      <c r="B63" s="46"/>
      <c r="C63" s="47"/>
      <c r="D63" s="48" t="s">
        <v>56</v>
      </c>
      <c r="E63" s="48"/>
      <c r="F63" s="48"/>
      <c r="G63" s="48"/>
      <c r="H63" s="48"/>
      <c r="I63" s="48"/>
      <c r="J63" s="66">
        <f>Inputs!J84</f>
        <v>0</v>
      </c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</row>
    <row r="64" spans="1:57" x14ac:dyDescent="0.2">
      <c r="A64" s="46"/>
      <c r="B64" s="46"/>
      <c r="C64" s="47"/>
      <c r="D64" s="80" t="s">
        <v>57</v>
      </c>
      <c r="E64" s="80"/>
      <c r="F64" s="80"/>
      <c r="G64" s="80"/>
      <c r="H64" s="80"/>
      <c r="I64" s="80"/>
      <c r="J64" s="66">
        <f>Inputs!J85</f>
        <v>0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</row>
    <row r="65" spans="1:57" x14ac:dyDescent="0.2">
      <c r="A65" s="46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</row>
    <row r="66" spans="1:57" x14ac:dyDescent="0.2">
      <c r="A66" s="46"/>
      <c r="B66" s="46" t="str">
        <f>Inputs!B182</f>
        <v>Probability of exceedance (PoE) forecast, Mega Volt Ampere (MVA)</v>
      </c>
      <c r="C66" s="47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</row>
    <row r="67" spans="1:57" x14ac:dyDescent="0.2">
      <c r="A67" s="46"/>
      <c r="B67" s="46"/>
      <c r="C67" s="47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x14ac:dyDescent="0.2">
      <c r="A68" s="46"/>
      <c r="B68" s="46"/>
      <c r="C68" s="47" t="str">
        <f>Inputs!C184</f>
        <v>PoE forecast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</row>
    <row r="69" spans="1:57" x14ac:dyDescent="0.2">
      <c r="A69" s="46"/>
      <c r="B69" s="46"/>
      <c r="C69" s="47"/>
      <c r="D69" s="48" t="str">
        <f>Inputs!D185</f>
        <v>10% PoE forecast, MVA</v>
      </c>
      <c r="E69" s="48"/>
      <c r="F69" s="48"/>
      <c r="G69" s="48"/>
      <c r="H69" s="48"/>
      <c r="I69" s="48"/>
      <c r="J69" s="83">
        <f>Inputs!J185</f>
        <v>0.1</v>
      </c>
      <c r="K69" s="48"/>
      <c r="L69" s="48"/>
      <c r="M69" s="48"/>
      <c r="N69" s="48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</row>
    <row r="70" spans="1:57" x14ac:dyDescent="0.2">
      <c r="A70" s="46"/>
      <c r="B70" s="46"/>
      <c r="C70" s="47"/>
      <c r="D70" s="80" t="str">
        <f>Inputs!D186</f>
        <v>50% PoE forecast, MVA</v>
      </c>
      <c r="E70" s="80"/>
      <c r="F70" s="80"/>
      <c r="G70" s="80"/>
      <c r="H70" s="80"/>
      <c r="I70" s="80"/>
      <c r="J70" s="83">
        <f>Inputs!J186</f>
        <v>0.5</v>
      </c>
      <c r="K70" s="80"/>
      <c r="L70" s="80"/>
      <c r="M70" s="80"/>
      <c r="N70" s="8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</row>
    <row r="71" spans="1:57" x14ac:dyDescent="0.2">
      <c r="A71" s="46"/>
      <c r="B71" s="46"/>
      <c r="C71" s="47"/>
      <c r="D71" s="48" t="str">
        <f>Inputs!D187</f>
        <v>Selected</v>
      </c>
      <c r="E71" s="48"/>
      <c r="F71" s="48"/>
      <c r="G71" s="48"/>
      <c r="H71" s="48"/>
      <c r="I71" s="48"/>
      <c r="J71" s="84">
        <f>Inputs!J187</f>
        <v>0.7</v>
      </c>
      <c r="K71" s="48"/>
      <c r="L71" s="48"/>
      <c r="M71" s="48"/>
      <c r="N71" s="48"/>
      <c r="O71" s="66">
        <f>Inputs!O187*$I$12</f>
        <v>0</v>
      </c>
      <c r="P71" s="66">
        <f>Inputs!P187*$I$12</f>
        <v>0</v>
      </c>
      <c r="Q71" s="66">
        <f>Inputs!Q187*$I$12</f>
        <v>0</v>
      </c>
      <c r="R71" s="66">
        <f>Inputs!R187*$I$12</f>
        <v>0</v>
      </c>
      <c r="S71" s="66">
        <f>Inputs!S187*$I$12</f>
        <v>0</v>
      </c>
      <c r="T71" s="66">
        <f>Inputs!T187*$I$12</f>
        <v>0</v>
      </c>
      <c r="U71" s="66">
        <f>Inputs!U187*$I$12</f>
        <v>0</v>
      </c>
      <c r="V71" s="66">
        <f>Inputs!V187*$I$12</f>
        <v>0</v>
      </c>
      <c r="W71" s="66">
        <f>Inputs!W187*$I$12</f>
        <v>0</v>
      </c>
      <c r="X71" s="66">
        <f>Inputs!X187*$I$12</f>
        <v>0</v>
      </c>
      <c r="Y71" s="66">
        <f>Inputs!Y187*$I$12</f>
        <v>0</v>
      </c>
      <c r="Z71" s="66">
        <f>Inputs!Z187*$I$12</f>
        <v>0</v>
      </c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</row>
    <row r="72" spans="1:57" x14ac:dyDescent="0.2">
      <c r="A72" s="46"/>
      <c r="B72" s="46"/>
      <c r="C72" s="47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</row>
    <row r="73" spans="1:57" x14ac:dyDescent="0.2">
      <c r="A73" s="46"/>
      <c r="B73" s="46" t="str">
        <f>Inputs!B189</f>
        <v>Load at risk</v>
      </c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</row>
    <row r="74" spans="1:57" x14ac:dyDescent="0.2">
      <c r="A74" s="46"/>
      <c r="B74" s="46"/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</row>
    <row r="75" spans="1:57" x14ac:dyDescent="0.2">
      <c r="A75" s="46"/>
      <c r="B75" s="46"/>
      <c r="C75" s="47" t="str">
        <f>Inputs!C191</f>
        <v>Selected profile, MVA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</row>
    <row r="76" spans="1:57" x14ac:dyDescent="0.2">
      <c r="A76" s="46"/>
      <c r="B76" s="46"/>
      <c r="C76" s="47"/>
      <c r="D76" s="48" t="s">
        <v>141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</row>
    <row r="77" spans="1:57" x14ac:dyDescent="0.2">
      <c r="A77" s="46"/>
      <c r="B77" s="46"/>
      <c r="C77" s="47"/>
      <c r="D77" s="48" t="s">
        <v>142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</row>
    <row r="78" spans="1:57" x14ac:dyDescent="0.2">
      <c r="A78" s="46"/>
      <c r="B78" s="46"/>
      <c r="C78" s="47"/>
      <c r="D78" s="48" t="s">
        <v>143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</row>
    <row r="79" spans="1:57" x14ac:dyDescent="0.2">
      <c r="A79" s="46"/>
      <c r="B79" s="46"/>
      <c r="C79" s="47"/>
      <c r="D79" s="48" t="s">
        <v>144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</row>
    <row r="80" spans="1:57" x14ac:dyDescent="0.2">
      <c r="A80" s="46"/>
      <c r="B80" s="46"/>
      <c r="C80" s="47"/>
      <c r="D80" s="80" t="s">
        <v>145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</row>
    <row r="81" spans="1:57" x14ac:dyDescent="0.2">
      <c r="A81" s="46"/>
      <c r="B81" s="46"/>
      <c r="C81" s="47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</row>
    <row r="82" spans="1:57" x14ac:dyDescent="0.2">
      <c r="A82" s="46"/>
      <c r="B82" s="46" t="s">
        <v>162</v>
      </c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</row>
    <row r="83" spans="1:57" x14ac:dyDescent="0.2">
      <c r="A83" s="46"/>
      <c r="B83" s="46"/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</row>
    <row r="84" spans="1:57" x14ac:dyDescent="0.2">
      <c r="A84" s="46"/>
      <c r="B84" s="46"/>
      <c r="C84" s="47" t="s">
        <v>163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</row>
    <row r="85" spans="1:57" x14ac:dyDescent="0.2">
      <c r="A85" s="46"/>
      <c r="B85" s="46"/>
      <c r="C85" s="47"/>
      <c r="D85" s="48"/>
      <c r="E85" s="48" t="s">
        <v>164</v>
      </c>
      <c r="F85" s="48"/>
      <c r="G85" s="48"/>
      <c r="H85" s="48"/>
      <c r="I85" s="48"/>
      <c r="J85" s="48"/>
      <c r="K85" s="48"/>
      <c r="L85" s="48"/>
      <c r="M85" s="48"/>
      <c r="N85" s="48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</row>
    <row r="86" spans="1:57" x14ac:dyDescent="0.2">
      <c r="A86" s="46"/>
      <c r="B86" s="46"/>
      <c r="C86" s="47"/>
      <c r="D86" s="48"/>
      <c r="E86" s="80" t="s">
        <v>165</v>
      </c>
      <c r="F86" s="80"/>
      <c r="G86" s="80"/>
      <c r="H86" s="80"/>
      <c r="I86" s="80"/>
      <c r="J86" s="80"/>
      <c r="K86" s="80"/>
      <c r="L86" s="80"/>
      <c r="M86" s="80"/>
      <c r="N86" s="8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</row>
    <row r="87" spans="1:57" x14ac:dyDescent="0.2">
      <c r="A87" s="46"/>
      <c r="B87" s="46"/>
      <c r="C87" s="47"/>
      <c r="D87" s="85" t="str">
        <f>D76</f>
        <v>N</v>
      </c>
      <c r="E87" s="85" t="s">
        <v>163</v>
      </c>
      <c r="F87" s="85"/>
      <c r="G87" s="85"/>
      <c r="H87" s="85"/>
      <c r="I87" s="85"/>
      <c r="J87" s="85"/>
      <c r="K87" s="85"/>
      <c r="L87" s="85"/>
      <c r="M87" s="85"/>
      <c r="N87" s="85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</row>
    <row r="88" spans="1:57" x14ac:dyDescent="0.2">
      <c r="A88" s="46"/>
      <c r="B88" s="46"/>
      <c r="C88" s="47"/>
      <c r="D88" s="48"/>
      <c r="E88" s="48" t="str">
        <f t="shared" ref="E88:E99" si="5">E85</f>
        <v>Unserved energy day 1</v>
      </c>
      <c r="F88" s="48"/>
      <c r="G88" s="48"/>
      <c r="H88" s="48"/>
      <c r="I88" s="48"/>
      <c r="J88" s="48"/>
      <c r="K88" s="48"/>
      <c r="L88" s="48"/>
      <c r="M88" s="48"/>
      <c r="N88" s="48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</row>
    <row r="89" spans="1:57" x14ac:dyDescent="0.2">
      <c r="A89" s="46"/>
      <c r="B89" s="46"/>
      <c r="C89" s="47"/>
      <c r="D89" s="48"/>
      <c r="E89" s="80" t="str">
        <f t="shared" si="5"/>
        <v>Unserved energy day 2</v>
      </c>
      <c r="F89" s="80"/>
      <c r="G89" s="80"/>
      <c r="H89" s="80"/>
      <c r="I89" s="80"/>
      <c r="J89" s="80"/>
      <c r="K89" s="80"/>
      <c r="L89" s="80"/>
      <c r="M89" s="80"/>
      <c r="N89" s="8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</row>
    <row r="90" spans="1:57" x14ac:dyDescent="0.2">
      <c r="A90" s="46"/>
      <c r="B90" s="46"/>
      <c r="C90" s="47"/>
      <c r="D90" s="85" t="str">
        <f>D77</f>
        <v>N-1</v>
      </c>
      <c r="E90" s="85" t="str">
        <f t="shared" si="5"/>
        <v>Average load at risk (pu)</v>
      </c>
      <c r="F90" s="85"/>
      <c r="G90" s="85"/>
      <c r="H90" s="85"/>
      <c r="I90" s="85"/>
      <c r="J90" s="85"/>
      <c r="K90" s="85"/>
      <c r="L90" s="85"/>
      <c r="M90" s="85"/>
      <c r="N90" s="85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</row>
    <row r="91" spans="1:57" x14ac:dyDescent="0.2">
      <c r="A91" s="46"/>
      <c r="B91" s="46"/>
      <c r="C91" s="47"/>
      <c r="D91" s="48"/>
      <c r="E91" s="48" t="str">
        <f t="shared" si="5"/>
        <v>Unserved energy day 1</v>
      </c>
      <c r="F91" s="48"/>
      <c r="G91" s="48"/>
      <c r="H91" s="48"/>
      <c r="I91" s="48"/>
      <c r="J91" s="48"/>
      <c r="K91" s="48"/>
      <c r="L91" s="48"/>
      <c r="M91" s="48"/>
      <c r="N91" s="48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</row>
    <row r="92" spans="1:57" x14ac:dyDescent="0.2">
      <c r="A92" s="46"/>
      <c r="B92" s="46"/>
      <c r="C92" s="47"/>
      <c r="D92" s="48"/>
      <c r="E92" s="80" t="str">
        <f t="shared" si="5"/>
        <v>Unserved energy day 2</v>
      </c>
      <c r="F92" s="80"/>
      <c r="G92" s="80"/>
      <c r="H92" s="80"/>
      <c r="I92" s="80"/>
      <c r="J92" s="80"/>
      <c r="K92" s="80"/>
      <c r="L92" s="80"/>
      <c r="M92" s="80"/>
      <c r="N92" s="8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</row>
    <row r="93" spans="1:57" x14ac:dyDescent="0.2">
      <c r="A93" s="46"/>
      <c r="B93" s="46"/>
      <c r="C93" s="47"/>
      <c r="D93" s="85" t="str">
        <f>D78</f>
        <v>N-2</v>
      </c>
      <c r="E93" s="85" t="str">
        <f t="shared" si="5"/>
        <v>Average load at risk (pu)</v>
      </c>
      <c r="F93" s="85"/>
      <c r="G93" s="85"/>
      <c r="H93" s="85"/>
      <c r="I93" s="85"/>
      <c r="J93" s="85"/>
      <c r="K93" s="85"/>
      <c r="L93" s="85"/>
      <c r="M93" s="85"/>
      <c r="N93" s="85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</row>
    <row r="94" spans="1:57" x14ac:dyDescent="0.2">
      <c r="A94" s="46"/>
      <c r="B94" s="46"/>
      <c r="C94" s="47"/>
      <c r="D94" s="48"/>
      <c r="E94" s="48" t="str">
        <f t="shared" si="5"/>
        <v>Unserved energy day 1</v>
      </c>
      <c r="F94" s="48"/>
      <c r="G94" s="48"/>
      <c r="H94" s="48"/>
      <c r="I94" s="48"/>
      <c r="J94" s="48"/>
      <c r="K94" s="48"/>
      <c r="L94" s="48"/>
      <c r="M94" s="48"/>
      <c r="N94" s="48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</row>
    <row r="95" spans="1:57" x14ac:dyDescent="0.2">
      <c r="A95" s="46"/>
      <c r="B95" s="46"/>
      <c r="C95" s="47"/>
      <c r="D95" s="48"/>
      <c r="E95" s="80" t="str">
        <f t="shared" si="5"/>
        <v>Unserved energy day 2</v>
      </c>
      <c r="F95" s="80"/>
      <c r="G95" s="80"/>
      <c r="H95" s="80"/>
      <c r="I95" s="80"/>
      <c r="J95" s="80"/>
      <c r="K95" s="80"/>
      <c r="L95" s="80"/>
      <c r="M95" s="80"/>
      <c r="N95" s="8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</row>
    <row r="96" spans="1:57" x14ac:dyDescent="0.2">
      <c r="A96" s="46"/>
      <c r="B96" s="46"/>
      <c r="C96" s="47"/>
      <c r="D96" s="85" t="str">
        <f>D79</f>
        <v>N-3</v>
      </c>
      <c r="E96" s="85" t="str">
        <f t="shared" si="5"/>
        <v>Average load at risk (pu)</v>
      </c>
      <c r="F96" s="85"/>
      <c r="G96" s="85"/>
      <c r="H96" s="85"/>
      <c r="I96" s="85"/>
      <c r="J96" s="85"/>
      <c r="K96" s="85"/>
      <c r="L96" s="85"/>
      <c r="M96" s="85"/>
      <c r="N96" s="85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</row>
    <row r="97" spans="1:57" x14ac:dyDescent="0.2">
      <c r="A97" s="46"/>
      <c r="B97" s="46"/>
      <c r="C97" s="47"/>
      <c r="D97" s="48"/>
      <c r="E97" s="48" t="str">
        <f t="shared" si="5"/>
        <v>Unserved energy day 1</v>
      </c>
      <c r="F97" s="48"/>
      <c r="G97" s="48"/>
      <c r="H97" s="48"/>
      <c r="I97" s="48"/>
      <c r="J97" s="48"/>
      <c r="K97" s="48"/>
      <c r="L97" s="48"/>
      <c r="M97" s="48"/>
      <c r="N97" s="48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</row>
    <row r="98" spans="1:57" x14ac:dyDescent="0.2">
      <c r="A98" s="46"/>
      <c r="B98" s="46"/>
      <c r="C98" s="47"/>
      <c r="D98" s="48"/>
      <c r="E98" s="80" t="str">
        <f t="shared" si="5"/>
        <v>Unserved energy day 2</v>
      </c>
      <c r="F98" s="80"/>
      <c r="G98" s="80"/>
      <c r="H98" s="80"/>
      <c r="I98" s="80"/>
      <c r="J98" s="80"/>
      <c r="K98" s="80"/>
      <c r="L98" s="80"/>
      <c r="M98" s="80"/>
      <c r="N98" s="8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</row>
    <row r="99" spans="1:57" x14ac:dyDescent="0.2">
      <c r="A99" s="46"/>
      <c r="B99" s="46"/>
      <c r="C99" s="47"/>
      <c r="D99" s="86" t="str">
        <f>D80</f>
        <v>N-4</v>
      </c>
      <c r="E99" s="86" t="str">
        <f t="shared" si="5"/>
        <v>Average load at risk (pu)</v>
      </c>
      <c r="F99" s="86"/>
      <c r="G99" s="86"/>
      <c r="H99" s="86"/>
      <c r="I99" s="86"/>
      <c r="J99" s="86"/>
      <c r="K99" s="86"/>
      <c r="L99" s="86"/>
      <c r="M99" s="86"/>
      <c r="N99" s="86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</row>
    <row r="100" spans="1:57" x14ac:dyDescent="0.2">
      <c r="A100" s="46"/>
      <c r="B100" s="46"/>
      <c r="C100" s="4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</row>
    <row r="101" spans="1:57" x14ac:dyDescent="0.2">
      <c r="A101" s="46"/>
      <c r="B101" s="46"/>
      <c r="C101" s="47" t="s">
        <v>166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</row>
    <row r="102" spans="1:57" x14ac:dyDescent="0.2">
      <c r="A102" s="46"/>
      <c r="B102" s="46"/>
      <c r="C102" s="47"/>
      <c r="D102" s="48" t="str">
        <f>D87</f>
        <v>N</v>
      </c>
      <c r="E102" s="48"/>
      <c r="F102" s="48"/>
      <c r="G102" s="48"/>
      <c r="H102" s="48"/>
      <c r="I102" s="48"/>
      <c r="J102" s="48"/>
      <c r="K102" s="48"/>
      <c r="L102" s="48"/>
      <c r="M102" s="88"/>
      <c r="N102" s="48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</row>
    <row r="103" spans="1:57" x14ac:dyDescent="0.2">
      <c r="A103" s="46"/>
      <c r="B103" s="46"/>
      <c r="C103" s="47"/>
      <c r="D103" s="48" t="str">
        <f>D90</f>
        <v>N-1</v>
      </c>
      <c r="E103" s="48"/>
      <c r="F103" s="48"/>
      <c r="G103" s="48"/>
      <c r="H103" s="48"/>
      <c r="I103" s="48"/>
      <c r="J103" s="79" t="str">
        <f>Inputs!D64</f>
        <v>Significant</v>
      </c>
      <c r="K103" s="48"/>
      <c r="L103" s="48"/>
      <c r="M103" s="88"/>
      <c r="N103" s="48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</row>
    <row r="104" spans="1:57" x14ac:dyDescent="0.2">
      <c r="A104" s="46"/>
      <c r="B104" s="46"/>
      <c r="C104" s="47"/>
      <c r="D104" s="48" t="str">
        <f>D90</f>
        <v>N-1</v>
      </c>
      <c r="E104" s="48"/>
      <c r="F104" s="48"/>
      <c r="G104" s="48"/>
      <c r="H104" s="48"/>
      <c r="I104" s="48"/>
      <c r="J104" s="79" t="str">
        <f>Inputs!D65</f>
        <v>Major</v>
      </c>
      <c r="K104" s="48"/>
      <c r="L104" s="48"/>
      <c r="M104" s="88"/>
      <c r="N104" s="48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</row>
    <row r="105" spans="1:57" x14ac:dyDescent="0.2">
      <c r="A105" s="46"/>
      <c r="B105" s="46"/>
      <c r="C105" s="47"/>
      <c r="D105" s="48" t="str">
        <f>D93</f>
        <v>N-2</v>
      </c>
      <c r="E105" s="48"/>
      <c r="F105" s="48"/>
      <c r="G105" s="48"/>
      <c r="H105" s="48"/>
      <c r="I105" s="48"/>
      <c r="J105" s="79" t="str">
        <f>Inputs!$D$66</f>
        <v>Catastrophic</v>
      </c>
      <c r="K105" s="48"/>
      <c r="L105" s="48"/>
      <c r="M105" s="88"/>
      <c r="N105" s="48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</row>
    <row r="106" spans="1:57" x14ac:dyDescent="0.2">
      <c r="A106" s="46"/>
      <c r="B106" s="46"/>
      <c r="C106" s="47"/>
      <c r="D106" s="48" t="str">
        <f>D96</f>
        <v>N-3</v>
      </c>
      <c r="E106" s="48"/>
      <c r="F106" s="48"/>
      <c r="G106" s="48"/>
      <c r="H106" s="48"/>
      <c r="I106" s="48"/>
      <c r="J106" s="79" t="str">
        <f>Inputs!$D$66</f>
        <v>Catastrophic</v>
      </c>
      <c r="K106" s="48"/>
      <c r="L106" s="48"/>
      <c r="M106" s="88"/>
      <c r="N106" s="48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</row>
    <row r="107" spans="1:57" x14ac:dyDescent="0.2">
      <c r="A107" s="46"/>
      <c r="B107" s="46"/>
      <c r="C107" s="47"/>
      <c r="D107" s="80" t="str">
        <f>D99</f>
        <v>N-4</v>
      </c>
      <c r="E107" s="80"/>
      <c r="F107" s="80"/>
      <c r="G107" s="80"/>
      <c r="H107" s="80"/>
      <c r="I107" s="80"/>
      <c r="J107" s="79" t="str">
        <f>Inputs!$D$66</f>
        <v>Catastrophic</v>
      </c>
      <c r="K107" s="80"/>
      <c r="L107" s="80"/>
      <c r="M107" s="89"/>
      <c r="N107" s="8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</row>
    <row r="108" spans="1:57" x14ac:dyDescent="0.2">
      <c r="A108" s="46"/>
      <c r="B108" s="46"/>
      <c r="C108" s="47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</row>
    <row r="109" spans="1:57" x14ac:dyDescent="0.2">
      <c r="A109" s="49" t="s">
        <v>167</v>
      </c>
      <c r="B109" s="49"/>
      <c r="C109" s="50"/>
      <c r="D109" s="51"/>
      <c r="E109" s="51"/>
      <c r="F109" s="51"/>
      <c r="G109" s="51"/>
      <c r="H109" s="51"/>
      <c r="I109" s="51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</row>
    <row r="110" spans="1:57" x14ac:dyDescent="0.2">
      <c r="A110" s="46"/>
      <c r="B110" s="46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  <row r="111" spans="1:57" x14ac:dyDescent="0.2">
      <c r="A111" s="46"/>
      <c r="B111" s="46" t="s">
        <v>168</v>
      </c>
      <c r="C111" s="47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</row>
    <row r="112" spans="1:57" x14ac:dyDescent="0.2">
      <c r="A112" s="46"/>
      <c r="B112" s="46"/>
      <c r="C112" s="47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</row>
    <row r="113" spans="1:57" x14ac:dyDescent="0.2">
      <c r="A113" s="46"/>
      <c r="B113" s="46"/>
      <c r="C113" s="47" t="str">
        <f>Inputs!C63</f>
        <v>Failure mode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</row>
    <row r="114" spans="1:57" x14ac:dyDescent="0.2">
      <c r="A114" s="46"/>
      <c r="B114" s="46"/>
      <c r="C114" s="47"/>
      <c r="D114" s="48" t="str">
        <f>Inputs!D64</f>
        <v>Significant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53">
        <f>Inputs!O64*$I$9</f>
        <v>9.8999999999999991E-3</v>
      </c>
      <c r="P114" s="53">
        <f>Inputs!P64*$I$9</f>
        <v>1.089E-2</v>
      </c>
      <c r="Q114" s="53">
        <f>Inputs!Q64*$I$9</f>
        <v>1.197E-2</v>
      </c>
      <c r="R114" s="53">
        <f>Inputs!R64*$I$9</f>
        <v>1.3140000000000001E-2</v>
      </c>
      <c r="S114" s="53">
        <f>Inputs!S64*$I$9</f>
        <v>1.4489999999999999E-2</v>
      </c>
      <c r="T114" s="53">
        <f>Inputs!T64*$I$9</f>
        <v>1.593E-2</v>
      </c>
      <c r="U114" s="53">
        <f>Inputs!U64*$I$9</f>
        <v>1.755E-2</v>
      </c>
      <c r="V114" s="53">
        <f>Inputs!V64*$I$9</f>
        <v>1.9259999999999999E-2</v>
      </c>
      <c r="W114" s="53">
        <f>Inputs!W64*$I$9</f>
        <v>2.1239999999999998E-2</v>
      </c>
      <c r="X114" s="53">
        <f>Inputs!X64*$I$9</f>
        <v>2.3310000000000001E-2</v>
      </c>
      <c r="Y114" s="53">
        <f>Inputs!Y64*$I$9</f>
        <v>2.5650000000000003E-2</v>
      </c>
      <c r="Z114" s="53">
        <f>Inputs!Z64*$I$9</f>
        <v>2.8259999999999997E-2</v>
      </c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</row>
    <row r="115" spans="1:57" x14ac:dyDescent="0.2">
      <c r="A115" s="46"/>
      <c r="B115" s="46"/>
      <c r="C115" s="47"/>
      <c r="D115" s="48" t="str">
        <f>Inputs!D65</f>
        <v>Major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53">
        <f>Inputs!O65*$I$9</f>
        <v>9.5399999999999999E-3</v>
      </c>
      <c r="P115" s="53">
        <f>Inputs!P65*$I$9</f>
        <v>1.044E-2</v>
      </c>
      <c r="Q115" s="53">
        <f>Inputs!Q65*$I$9</f>
        <v>1.1520000000000001E-2</v>
      </c>
      <c r="R115" s="53">
        <f>Inputs!R65*$I$9</f>
        <v>1.269E-2</v>
      </c>
      <c r="S115" s="53">
        <f>Inputs!S65*$I$9</f>
        <v>1.3950000000000001E-2</v>
      </c>
      <c r="T115" s="53">
        <f>Inputs!T65*$I$9</f>
        <v>1.5300000000000001E-2</v>
      </c>
      <c r="U115" s="53">
        <f>Inputs!U65*$I$9</f>
        <v>1.6830000000000001E-2</v>
      </c>
      <c r="V115" s="53">
        <f>Inputs!V65*$I$9</f>
        <v>1.8540000000000001E-2</v>
      </c>
      <c r="W115" s="53">
        <f>Inputs!W65*$I$9</f>
        <v>2.034E-2</v>
      </c>
      <c r="X115" s="53">
        <f>Inputs!X65*$I$9</f>
        <v>2.2409999999999999E-2</v>
      </c>
      <c r="Y115" s="53">
        <f>Inputs!Y65*$I$9</f>
        <v>2.4660000000000001E-2</v>
      </c>
      <c r="Z115" s="53">
        <f>Inputs!Z65*$I$9</f>
        <v>2.7089999999999999E-2</v>
      </c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</row>
    <row r="116" spans="1:57" x14ac:dyDescent="0.2">
      <c r="A116" s="46"/>
      <c r="B116" s="46"/>
      <c r="C116" s="47"/>
      <c r="D116" s="80" t="str">
        <f>Inputs!D66</f>
        <v>Catastrophic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53">
        <f>Inputs!O66*$I$9</f>
        <v>9.0630000000000002E-2</v>
      </c>
      <c r="P116" s="53">
        <f>Inputs!P66*$I$9</f>
        <v>9.963000000000001E-2</v>
      </c>
      <c r="Q116" s="53">
        <f>Inputs!Q66*$I$9</f>
        <v>0.10962000000000001</v>
      </c>
      <c r="R116" s="53">
        <f>Inputs!R66*$I$9</f>
        <v>0.12060000000000001</v>
      </c>
      <c r="S116" s="53">
        <f>Inputs!S66*$I$9</f>
        <v>0.13266</v>
      </c>
      <c r="T116" s="53">
        <f>Inputs!T66*$I$9</f>
        <v>0.14588999999999999</v>
      </c>
      <c r="U116" s="53">
        <f>Inputs!U66*$I$9</f>
        <v>0.16047</v>
      </c>
      <c r="V116" s="53">
        <f>Inputs!V66*$I$9</f>
        <v>0.17649000000000001</v>
      </c>
      <c r="W116" s="53">
        <f>Inputs!W66*$I$9</f>
        <v>0.19422</v>
      </c>
      <c r="X116" s="53">
        <f>Inputs!X66*$I$9</f>
        <v>0.21357000000000001</v>
      </c>
      <c r="Y116" s="53">
        <f>Inputs!Y66*$I$9</f>
        <v>0.23499</v>
      </c>
      <c r="Z116" s="53">
        <f>Inputs!Z66*$I$9</f>
        <v>0.25848000000000004</v>
      </c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</row>
    <row r="117" spans="1:57" x14ac:dyDescent="0.2">
      <c r="A117" s="46"/>
      <c r="B117" s="46"/>
      <c r="C117" s="47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</row>
    <row r="118" spans="1:57" x14ac:dyDescent="0.2">
      <c r="A118" s="46"/>
      <c r="B118" s="46"/>
      <c r="C118" s="47" t="s">
        <v>169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</row>
    <row r="119" spans="1:57" x14ac:dyDescent="0.2">
      <c r="A119" s="46"/>
      <c r="B119" s="46"/>
      <c r="C119" s="47"/>
      <c r="D119" s="48" t="str">
        <f>$O$16</f>
        <v>Network Performance</v>
      </c>
      <c r="E119" s="48"/>
      <c r="F119" s="48"/>
      <c r="G119" s="48"/>
      <c r="H119" s="48"/>
      <c r="I119" s="48"/>
      <c r="J119" s="79" t="str">
        <f>J103</f>
        <v>Significant</v>
      </c>
      <c r="K119" s="48"/>
      <c r="L119" s="48"/>
      <c r="M119" s="48"/>
      <c r="N119" s="48"/>
      <c r="O119" s="112">
        <f>$O$37*O114</f>
        <v>0</v>
      </c>
      <c r="P119" s="112">
        <f t="shared" ref="P119:Z119" si="6">$O$37*P114</f>
        <v>0</v>
      </c>
      <c r="Q119" s="112">
        <f t="shared" si="6"/>
        <v>0</v>
      </c>
      <c r="R119" s="112">
        <f t="shared" si="6"/>
        <v>0</v>
      </c>
      <c r="S119" s="112">
        <f t="shared" si="6"/>
        <v>0</v>
      </c>
      <c r="T119" s="112">
        <f t="shared" si="6"/>
        <v>0</v>
      </c>
      <c r="U119" s="112">
        <f t="shared" si="6"/>
        <v>0</v>
      </c>
      <c r="V119" s="112">
        <f t="shared" si="6"/>
        <v>0</v>
      </c>
      <c r="W119" s="112">
        <f t="shared" si="6"/>
        <v>0</v>
      </c>
      <c r="X119" s="112">
        <f t="shared" si="6"/>
        <v>0</v>
      </c>
      <c r="Y119" s="112">
        <f t="shared" si="6"/>
        <v>0</v>
      </c>
      <c r="Z119" s="112">
        <f t="shared" si="6"/>
        <v>0</v>
      </c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</row>
    <row r="120" spans="1:57" x14ac:dyDescent="0.2">
      <c r="A120" s="46"/>
      <c r="B120" s="46"/>
      <c r="C120" s="47"/>
      <c r="D120" s="48" t="str">
        <f t="shared" ref="D120:D121" si="7">$O$16</f>
        <v>Network Performance</v>
      </c>
      <c r="E120" s="48"/>
      <c r="F120" s="48"/>
      <c r="G120" s="48"/>
      <c r="H120" s="48"/>
      <c r="I120" s="48"/>
      <c r="J120" s="79" t="str">
        <f t="shared" ref="J120:J121" si="8">J104</f>
        <v>Major</v>
      </c>
      <c r="K120" s="48"/>
      <c r="L120" s="48"/>
      <c r="M120" s="48"/>
      <c r="N120" s="48"/>
      <c r="O120" s="112">
        <f>$O$27*O115</f>
        <v>4293</v>
      </c>
      <c r="P120" s="112">
        <f t="shared" ref="P120:Z120" si="9">$O$27*P115</f>
        <v>4698</v>
      </c>
      <c r="Q120" s="112">
        <f t="shared" si="9"/>
        <v>5184</v>
      </c>
      <c r="R120" s="112">
        <f t="shared" si="9"/>
        <v>5710.5</v>
      </c>
      <c r="S120" s="112">
        <f t="shared" si="9"/>
        <v>6277.5</v>
      </c>
      <c r="T120" s="112">
        <f t="shared" si="9"/>
        <v>6885.0000000000009</v>
      </c>
      <c r="U120" s="112">
        <f t="shared" si="9"/>
        <v>7573.5000000000009</v>
      </c>
      <c r="V120" s="112">
        <f t="shared" si="9"/>
        <v>8343</v>
      </c>
      <c r="W120" s="112">
        <f t="shared" si="9"/>
        <v>9153</v>
      </c>
      <c r="X120" s="112">
        <f t="shared" si="9"/>
        <v>10084.5</v>
      </c>
      <c r="Y120" s="112">
        <f t="shared" si="9"/>
        <v>11097</v>
      </c>
      <c r="Z120" s="112">
        <f t="shared" si="9"/>
        <v>12190.5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</row>
    <row r="121" spans="1:57" x14ac:dyDescent="0.2">
      <c r="A121" s="46"/>
      <c r="B121" s="46"/>
      <c r="C121" s="47"/>
      <c r="D121" s="80" t="str">
        <f t="shared" si="7"/>
        <v>Network Performance</v>
      </c>
      <c r="E121" s="80"/>
      <c r="F121" s="80"/>
      <c r="G121" s="80"/>
      <c r="H121" s="80"/>
      <c r="I121" s="80"/>
      <c r="J121" s="79" t="str">
        <f t="shared" si="8"/>
        <v>Catastrophic</v>
      </c>
      <c r="K121" s="80"/>
      <c r="L121" s="80"/>
      <c r="M121" s="80"/>
      <c r="N121" s="80"/>
      <c r="O121" s="112">
        <f>$O$17*O116</f>
        <v>40783.5</v>
      </c>
      <c r="P121" s="112">
        <f t="shared" ref="P121:Z121" si="10">$O$17*P116</f>
        <v>44833.500000000007</v>
      </c>
      <c r="Q121" s="112">
        <f t="shared" si="10"/>
        <v>49329.000000000007</v>
      </c>
      <c r="R121" s="112">
        <f t="shared" si="10"/>
        <v>54270.000000000007</v>
      </c>
      <c r="S121" s="112">
        <f t="shared" si="10"/>
        <v>59697</v>
      </c>
      <c r="T121" s="112">
        <f t="shared" si="10"/>
        <v>65650.5</v>
      </c>
      <c r="U121" s="112">
        <f t="shared" si="10"/>
        <v>72211.5</v>
      </c>
      <c r="V121" s="112">
        <f t="shared" si="10"/>
        <v>79420.5</v>
      </c>
      <c r="W121" s="112">
        <f t="shared" si="10"/>
        <v>87399</v>
      </c>
      <c r="X121" s="112">
        <f t="shared" si="10"/>
        <v>96106.5</v>
      </c>
      <c r="Y121" s="112">
        <f t="shared" si="10"/>
        <v>105745.5</v>
      </c>
      <c r="Z121" s="112">
        <f t="shared" si="10"/>
        <v>116316.00000000001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</row>
    <row r="122" spans="1:57" x14ac:dyDescent="0.2">
      <c r="A122" s="46"/>
      <c r="B122" s="46"/>
      <c r="C122" s="47"/>
      <c r="D122" s="48" t="s">
        <v>187</v>
      </c>
      <c r="E122" s="48"/>
      <c r="F122" s="48"/>
      <c r="G122" s="48"/>
      <c r="H122" s="48"/>
      <c r="I122" s="48"/>
      <c r="J122" s="113" t="str">
        <f>J119</f>
        <v>Significant</v>
      </c>
      <c r="K122" s="48"/>
      <c r="L122" s="48"/>
      <c r="M122" s="48"/>
      <c r="N122" s="48"/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04">
        <v>0</v>
      </c>
      <c r="X122" s="104">
        <v>0</v>
      </c>
      <c r="Y122" s="104">
        <v>0</v>
      </c>
      <c r="Z122" s="104">
        <v>0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</row>
    <row r="123" spans="1:57" x14ac:dyDescent="0.2">
      <c r="A123" s="46"/>
      <c r="B123" s="46"/>
      <c r="C123" s="47"/>
      <c r="D123" s="80" t="str">
        <f>D122</f>
        <v>Network Performance - Coincidental outage</v>
      </c>
      <c r="E123" s="80"/>
      <c r="F123" s="80"/>
      <c r="G123" s="80"/>
      <c r="H123" s="80"/>
      <c r="I123" s="80"/>
      <c r="J123" s="79" t="str">
        <f>J120</f>
        <v>Major</v>
      </c>
      <c r="K123" s="80"/>
      <c r="L123" s="80"/>
      <c r="M123" s="80"/>
      <c r="N123" s="80"/>
      <c r="O123" s="109">
        <v>0</v>
      </c>
      <c r="P123" s="109">
        <v>0</v>
      </c>
      <c r="Q123" s="109">
        <v>0</v>
      </c>
      <c r="R123" s="109">
        <v>0</v>
      </c>
      <c r="S123" s="109">
        <v>0</v>
      </c>
      <c r="T123" s="109">
        <v>0</v>
      </c>
      <c r="U123" s="109">
        <v>0</v>
      </c>
      <c r="V123" s="109">
        <v>0</v>
      </c>
      <c r="W123" s="109">
        <v>0</v>
      </c>
      <c r="X123" s="109">
        <v>0</v>
      </c>
      <c r="Y123" s="109">
        <v>0</v>
      </c>
      <c r="Z123" s="109">
        <v>0</v>
      </c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</row>
    <row r="124" spans="1:57" x14ac:dyDescent="0.2">
      <c r="A124" s="46"/>
      <c r="B124" s="46"/>
      <c r="C124" s="47"/>
      <c r="D124" s="48" t="s">
        <v>170</v>
      </c>
      <c r="E124" s="48"/>
      <c r="F124" s="48"/>
      <c r="G124" s="48"/>
      <c r="H124" s="48"/>
      <c r="I124" s="48"/>
      <c r="J124" s="113" t="str">
        <f>J119</f>
        <v>Significant</v>
      </c>
      <c r="K124" s="48"/>
      <c r="L124" s="48"/>
      <c r="M124" s="48"/>
      <c r="N124" s="48"/>
      <c r="O124" s="81">
        <f t="shared" ref="O124:Z124" si="11">SUMIF($J$49:$J$51,$J124,$V$49:$V$51)*O114</f>
        <v>7325.9999999999991</v>
      </c>
      <c r="P124" s="81">
        <f t="shared" si="11"/>
        <v>8058.6</v>
      </c>
      <c r="Q124" s="81">
        <f t="shared" si="11"/>
        <v>8857.7999999999993</v>
      </c>
      <c r="R124" s="81">
        <f t="shared" si="11"/>
        <v>9723.6</v>
      </c>
      <c r="S124" s="81">
        <f t="shared" si="11"/>
        <v>10722.6</v>
      </c>
      <c r="T124" s="81">
        <f t="shared" si="11"/>
        <v>11788.199999999999</v>
      </c>
      <c r="U124" s="81">
        <f t="shared" si="11"/>
        <v>12987</v>
      </c>
      <c r="V124" s="81">
        <f t="shared" si="11"/>
        <v>14252.4</v>
      </c>
      <c r="W124" s="81">
        <f t="shared" si="11"/>
        <v>15717.599999999999</v>
      </c>
      <c r="X124" s="81">
        <f t="shared" si="11"/>
        <v>17249.400000000001</v>
      </c>
      <c r="Y124" s="81">
        <f t="shared" si="11"/>
        <v>18981.000000000004</v>
      </c>
      <c r="Z124" s="81">
        <f t="shared" si="11"/>
        <v>20912.399999999998</v>
      </c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</row>
    <row r="125" spans="1:57" x14ac:dyDescent="0.2">
      <c r="A125" s="46"/>
      <c r="B125" s="46"/>
      <c r="C125" s="47"/>
      <c r="D125" s="48" t="s">
        <v>171</v>
      </c>
      <c r="E125" s="48"/>
      <c r="F125" s="48"/>
      <c r="G125" s="48"/>
      <c r="H125" s="48"/>
      <c r="I125" s="48"/>
      <c r="J125" s="79" t="str">
        <f>J120</f>
        <v>Major</v>
      </c>
      <c r="K125" s="48"/>
      <c r="L125" s="48"/>
      <c r="M125" s="48"/>
      <c r="N125" s="48"/>
      <c r="O125" s="66">
        <f t="shared" ref="O125:Z125" si="12">SUMIF($J$49:$J$51,$J125,$V$49:$V$51)*O115</f>
        <v>35832.240000000005</v>
      </c>
      <c r="P125" s="66">
        <f t="shared" si="12"/>
        <v>39212.640000000007</v>
      </c>
      <c r="Q125" s="66">
        <f t="shared" si="12"/>
        <v>43269.12000000001</v>
      </c>
      <c r="R125" s="66">
        <f t="shared" si="12"/>
        <v>47663.640000000007</v>
      </c>
      <c r="S125" s="66">
        <f t="shared" si="12"/>
        <v>52396.200000000012</v>
      </c>
      <c r="T125" s="66">
        <f t="shared" si="12"/>
        <v>57466.80000000001</v>
      </c>
      <c r="U125" s="66">
        <f t="shared" si="12"/>
        <v>63213.48000000001</v>
      </c>
      <c r="V125" s="66">
        <f t="shared" si="12"/>
        <v>69636.240000000005</v>
      </c>
      <c r="W125" s="66">
        <f t="shared" si="12"/>
        <v>76397.040000000008</v>
      </c>
      <c r="X125" s="66">
        <f t="shared" si="12"/>
        <v>84171.96</v>
      </c>
      <c r="Y125" s="66">
        <f t="shared" si="12"/>
        <v>92622.960000000021</v>
      </c>
      <c r="Z125" s="66">
        <f t="shared" si="12"/>
        <v>101750.04000000001</v>
      </c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</row>
    <row r="126" spans="1:57" x14ac:dyDescent="0.2">
      <c r="A126" s="46"/>
      <c r="B126" s="46"/>
      <c r="C126" s="47"/>
      <c r="D126" s="48" t="s">
        <v>172</v>
      </c>
      <c r="E126" s="48"/>
      <c r="F126" s="48"/>
      <c r="G126" s="48"/>
      <c r="H126" s="48"/>
      <c r="I126" s="48"/>
      <c r="J126" s="79" t="str">
        <f>J121</f>
        <v>Catastrophic</v>
      </c>
      <c r="K126" s="48"/>
      <c r="L126" s="48"/>
      <c r="M126" s="48"/>
      <c r="N126" s="48"/>
      <c r="O126" s="66">
        <f t="shared" ref="O126:Z126" si="13">SUMIF($J$49:$J$51,$J126,$V$49:$V$51)*O116</f>
        <v>340406.28</v>
      </c>
      <c r="P126" s="66">
        <f t="shared" si="13"/>
        <v>374210.28000000009</v>
      </c>
      <c r="Q126" s="66">
        <f t="shared" si="13"/>
        <v>411732.72000000009</v>
      </c>
      <c r="R126" s="66">
        <f t="shared" si="13"/>
        <v>452973.60000000009</v>
      </c>
      <c r="S126" s="66">
        <f t="shared" si="13"/>
        <v>498270.96000000008</v>
      </c>
      <c r="T126" s="66">
        <f t="shared" si="13"/>
        <v>547962.84000000008</v>
      </c>
      <c r="U126" s="66">
        <f t="shared" si="13"/>
        <v>602725.32000000007</v>
      </c>
      <c r="V126" s="66">
        <f t="shared" si="13"/>
        <v>662896.44000000006</v>
      </c>
      <c r="W126" s="66">
        <f t="shared" si="13"/>
        <v>729490.32000000007</v>
      </c>
      <c r="X126" s="66">
        <f t="shared" si="13"/>
        <v>802168.92000000016</v>
      </c>
      <c r="Y126" s="66">
        <f t="shared" si="13"/>
        <v>882622.44000000018</v>
      </c>
      <c r="Z126" s="66">
        <f t="shared" si="13"/>
        <v>970850.88000000024</v>
      </c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</row>
    <row r="127" spans="1:57" x14ac:dyDescent="0.2">
      <c r="A127" s="46"/>
      <c r="B127" s="46"/>
      <c r="C127" s="47"/>
      <c r="D127" s="80" t="s">
        <v>173</v>
      </c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66">
        <f>Inputs!$J$27*$I$11</f>
        <v>0</v>
      </c>
      <c r="P127" s="66">
        <f>Inputs!$J$27*$I$11</f>
        <v>0</v>
      </c>
      <c r="Q127" s="66">
        <f>Inputs!$J$27*$I$11</f>
        <v>0</v>
      </c>
      <c r="R127" s="66">
        <f>Inputs!$J$27*$I$11</f>
        <v>0</v>
      </c>
      <c r="S127" s="66">
        <f>Inputs!$J$27*$I$11</f>
        <v>0</v>
      </c>
      <c r="T127" s="66">
        <f>Inputs!$J$27*$I$11</f>
        <v>0</v>
      </c>
      <c r="U127" s="66">
        <f>Inputs!$J$27*$I$11</f>
        <v>0</v>
      </c>
      <c r="V127" s="66">
        <f>Inputs!$J$27*$I$11</f>
        <v>0</v>
      </c>
      <c r="W127" s="66">
        <f>Inputs!$J$27*$I$11</f>
        <v>0</v>
      </c>
      <c r="X127" s="66">
        <f>Inputs!$J$27*$I$11</f>
        <v>0</v>
      </c>
      <c r="Y127" s="66">
        <f>Inputs!$J$27*$I$11</f>
        <v>0</v>
      </c>
      <c r="Z127" s="66">
        <f>Inputs!$J$27*$I$11</f>
        <v>0</v>
      </c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</row>
    <row r="128" spans="1:57" x14ac:dyDescent="0.2">
      <c r="A128" s="46"/>
      <c r="B128" s="46"/>
      <c r="C128" s="47"/>
      <c r="D128" s="48" t="s">
        <v>161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90">
        <f>SUM(O119:O127)</f>
        <v>428641.02</v>
      </c>
      <c r="P128" s="90">
        <f t="shared" ref="P128:Z128" si="14">SUM(P119:P127)</f>
        <v>471013.02000000014</v>
      </c>
      <c r="Q128" s="90">
        <f t="shared" si="14"/>
        <v>518372.64000000013</v>
      </c>
      <c r="R128" s="90">
        <f t="shared" si="14"/>
        <v>570341.34000000008</v>
      </c>
      <c r="S128" s="90">
        <f t="shared" si="14"/>
        <v>627364.26000000013</v>
      </c>
      <c r="T128" s="90">
        <f t="shared" si="14"/>
        <v>689753.34000000008</v>
      </c>
      <c r="U128" s="90">
        <f t="shared" si="14"/>
        <v>758710.8</v>
      </c>
      <c r="V128" s="90">
        <f t="shared" si="14"/>
        <v>834548.58000000007</v>
      </c>
      <c r="W128" s="90">
        <f t="shared" si="14"/>
        <v>918156.96000000008</v>
      </c>
      <c r="X128" s="90">
        <f t="shared" si="14"/>
        <v>1009781.2800000001</v>
      </c>
      <c r="Y128" s="90">
        <f t="shared" si="14"/>
        <v>1111068.9000000001</v>
      </c>
      <c r="Z128" s="90">
        <f t="shared" si="14"/>
        <v>1222019.8200000003</v>
      </c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</row>
    <row r="129" spans="1:57" x14ac:dyDescent="0.2">
      <c r="A129" s="46"/>
      <c r="B129" s="46"/>
      <c r="C129" s="47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</row>
    <row r="130" spans="1:57" x14ac:dyDescent="0.2">
      <c r="A130" s="49" t="s">
        <v>174</v>
      </c>
      <c r="B130" s="49"/>
      <c r="C130" s="50"/>
      <c r="D130" s="51"/>
      <c r="E130" s="51"/>
      <c r="F130" s="51"/>
      <c r="G130" s="51"/>
      <c r="H130" s="51"/>
      <c r="I130" s="51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</row>
    <row r="131" spans="1:57" x14ac:dyDescent="0.2">
      <c r="A131" s="46"/>
      <c r="B131" s="46"/>
      <c r="C131" s="47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</row>
    <row r="132" spans="1:57" x14ac:dyDescent="0.2">
      <c r="A132" s="46"/>
      <c r="B132" s="46" t="s">
        <v>175</v>
      </c>
      <c r="C132" s="47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</row>
    <row r="133" spans="1:57" x14ac:dyDescent="0.2">
      <c r="A133" s="46"/>
      <c r="B133" s="46"/>
      <c r="C133" s="47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</row>
    <row r="134" spans="1:57" x14ac:dyDescent="0.2">
      <c r="A134" s="46"/>
      <c r="B134" s="46"/>
      <c r="C134" s="47" t="s">
        <v>176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</row>
    <row r="135" spans="1:57" x14ac:dyDescent="0.2">
      <c r="A135" s="46"/>
      <c r="B135" s="46"/>
      <c r="C135" s="47"/>
      <c r="D135" s="48" t="str">
        <f>Inputs!D22</f>
        <v>Capex ($2021)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66">
        <f>Inputs!O22*'Scenario B'!$I$10</f>
        <v>0</v>
      </c>
      <c r="P135" s="66">
        <f>Inputs!P22*'Scenario B'!$I$10</f>
        <v>1585459.1150442478</v>
      </c>
      <c r="Q135" s="66">
        <f>Inputs!Q22*'Scenario B'!$I$10</f>
        <v>2238295.2212389382</v>
      </c>
      <c r="R135" s="66">
        <f>Inputs!R22*'Scenario B'!$I$10</f>
        <v>2518082.1238938058</v>
      </c>
      <c r="S135" s="66">
        <f>Inputs!S22*'Scenario B'!$I$10</f>
        <v>2518082.1238938058</v>
      </c>
      <c r="T135" s="66">
        <f>Inputs!T22*'Scenario B'!$I$10</f>
        <v>2518082.1238938058</v>
      </c>
      <c r="U135" s="66">
        <f>Inputs!U22*'Scenario B'!$I$10</f>
        <v>2518082.1238938058</v>
      </c>
      <c r="V135" s="66">
        <f>Inputs!V22*'Scenario B'!$I$10</f>
        <v>2518082.1238938058</v>
      </c>
      <c r="W135" s="66">
        <f>Inputs!W22*'Scenario B'!$I$10</f>
        <v>2518082.1238938058</v>
      </c>
      <c r="X135" s="66">
        <f>Inputs!X22*'Scenario B'!$I$10</f>
        <v>2518082.1238938058</v>
      </c>
      <c r="Y135" s="66">
        <f>Inputs!Y22*'Scenario B'!$I$10</f>
        <v>2518082.1238938058</v>
      </c>
      <c r="Z135" s="66">
        <f>Inputs!Z22*'Scenario B'!$I$10</f>
        <v>2518082.1238938058</v>
      </c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</row>
    <row r="136" spans="1:57" x14ac:dyDescent="0.2">
      <c r="A136" s="46"/>
      <c r="B136" s="46"/>
      <c r="C136" s="47"/>
      <c r="D136" s="48" t="s">
        <v>177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66">
        <f>(O135&lt;&gt;0)*1</f>
        <v>0</v>
      </c>
      <c r="P136" s="66">
        <f t="shared" ref="P136:Z136" si="15">(P135&lt;&gt;0)*1</f>
        <v>1</v>
      </c>
      <c r="Q136" s="66">
        <f t="shared" si="15"/>
        <v>1</v>
      </c>
      <c r="R136" s="66">
        <f t="shared" si="15"/>
        <v>1</v>
      </c>
      <c r="S136" s="66">
        <f t="shared" si="15"/>
        <v>1</v>
      </c>
      <c r="T136" s="66">
        <f t="shared" si="15"/>
        <v>1</v>
      </c>
      <c r="U136" s="66">
        <f t="shared" si="15"/>
        <v>1</v>
      </c>
      <c r="V136" s="66">
        <f t="shared" si="15"/>
        <v>1</v>
      </c>
      <c r="W136" s="66">
        <f t="shared" si="15"/>
        <v>1</v>
      </c>
      <c r="X136" s="66">
        <f t="shared" si="15"/>
        <v>1</v>
      </c>
      <c r="Y136" s="66">
        <f t="shared" si="15"/>
        <v>1</v>
      </c>
      <c r="Z136" s="66">
        <f t="shared" si="15"/>
        <v>1</v>
      </c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</row>
    <row r="137" spans="1:57" x14ac:dyDescent="0.2">
      <c r="A137" s="46"/>
      <c r="B137" s="46"/>
      <c r="C137" s="47"/>
      <c r="D137" s="48" t="s">
        <v>178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53">
        <f>(O136=1)*(1+Inputs!$J$11)^(SUM(O136:$Z136)-1)</f>
        <v>0</v>
      </c>
      <c r="P137" s="53">
        <f>(P136=1)*(1+Inputs!$J$11)^(SUM(P136:$Z136)-1)</f>
        <v>1.311651032586773</v>
      </c>
      <c r="Q137" s="53">
        <f>(Q136=1)*(1+Inputs!$J$11)^(SUM(Q136:$Z136)-1)</f>
        <v>1.2765460171160807</v>
      </c>
      <c r="R137" s="53">
        <f>(R136=1)*(1+Inputs!$J$11)^(SUM(R136:$Z136)-1)</f>
        <v>1.2423805519377913</v>
      </c>
      <c r="S137" s="53">
        <f>(S136=1)*(1+Inputs!$J$11)^(SUM(S136:$Z136)-1)</f>
        <v>1.2091294909370232</v>
      </c>
      <c r="T137" s="53">
        <f>(T136=1)*(1+Inputs!$J$11)^(SUM(T136:$Z136)-1)</f>
        <v>1.1767683610092683</v>
      </c>
      <c r="U137" s="53">
        <f>(U136=1)*(1+Inputs!$J$11)^(SUM(U136:$Z136)-1)</f>
        <v>1.1452733440479497</v>
      </c>
      <c r="V137" s="53">
        <f>(V136=1)*(1+Inputs!$J$11)^(SUM(V136:$Z136)-1)</f>
        <v>1.1146212594140628</v>
      </c>
      <c r="W137" s="53">
        <f>(W136=1)*(1+Inputs!$J$11)^(SUM(W136:$Z136)-1)</f>
        <v>1.0847895468750002</v>
      </c>
      <c r="X137" s="53">
        <f>(X136=1)*(1+Inputs!$J$11)^(SUM(X136:$Z136)-1)</f>
        <v>1.0557562500000002</v>
      </c>
      <c r="Y137" s="53">
        <f>(Y136=1)*(1+Inputs!$J$11)^(SUM(Y136:$Z136)-1)</f>
        <v>1.0275000000000001</v>
      </c>
      <c r="Z137" s="53">
        <f>(Z136=1)*(1+Inputs!$J$11)^(SUM(Z136:$Z136)-1)</f>
        <v>1</v>
      </c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</row>
    <row r="138" spans="1:57" x14ac:dyDescent="0.2">
      <c r="A138" s="46"/>
      <c r="B138" s="46"/>
      <c r="C138" s="47"/>
      <c r="D138" s="48" t="s">
        <v>179</v>
      </c>
      <c r="E138" s="48"/>
      <c r="F138" s="48"/>
      <c r="G138" s="48"/>
      <c r="H138" s="48"/>
      <c r="I138" s="48"/>
      <c r="J138" s="66">
        <f>PMT(Inputs!$J$11,Inputs!$J$12,-SUMPRODUCT('Scenario B'!O135:Z135,'Scenario B'!O137:Z137),0,0)</f>
        <v>1120830.100425198</v>
      </c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</row>
    <row r="139" spans="1:57" x14ac:dyDescent="0.2">
      <c r="A139" s="46"/>
      <c r="B139" s="46"/>
      <c r="C139" s="47"/>
      <c r="D139" s="48" t="s">
        <v>180</v>
      </c>
      <c r="E139" s="48"/>
      <c r="F139" s="48"/>
      <c r="G139" s="48"/>
      <c r="H139" s="48"/>
      <c r="I139" s="48"/>
      <c r="J139" s="66">
        <f>Inputs!K27*$I$11</f>
        <v>0</v>
      </c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</row>
    <row r="140" spans="1:57" x14ac:dyDescent="0.2">
      <c r="A140" s="46"/>
      <c r="B140" s="46"/>
      <c r="C140" s="47"/>
      <c r="D140" s="48" t="s">
        <v>181</v>
      </c>
      <c r="E140" s="48"/>
      <c r="F140" s="48"/>
      <c r="G140" s="48"/>
      <c r="H140" s="48"/>
      <c r="I140" s="48"/>
      <c r="J140" s="66">
        <f>SUM(J138:J139)</f>
        <v>1120830.100425198</v>
      </c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</row>
    <row r="141" spans="1:57" x14ac:dyDescent="0.2">
      <c r="A141" s="46"/>
      <c r="B141" s="46"/>
      <c r="C141" s="47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</row>
    <row r="142" spans="1:57" x14ac:dyDescent="0.2">
      <c r="A142" s="49" t="s">
        <v>182</v>
      </c>
      <c r="B142" s="49"/>
      <c r="C142" s="50"/>
      <c r="D142" s="51"/>
      <c r="E142" s="51"/>
      <c r="F142" s="51"/>
      <c r="G142" s="51"/>
      <c r="H142" s="51"/>
      <c r="I142" s="51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</row>
    <row r="143" spans="1:57" x14ac:dyDescent="0.2">
      <c r="A143" s="46"/>
      <c r="B143" s="46"/>
      <c r="C143" s="47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</row>
    <row r="144" spans="1:57" x14ac:dyDescent="0.2">
      <c r="A144" s="46"/>
      <c r="B144" s="46" t="s">
        <v>183</v>
      </c>
      <c r="C144" s="47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</row>
    <row r="145" spans="1:57" x14ac:dyDescent="0.2">
      <c r="A145" s="46"/>
      <c r="B145" s="46"/>
      <c r="C145" s="47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</row>
    <row r="146" spans="1:57" x14ac:dyDescent="0.2">
      <c r="A146" s="46"/>
      <c r="B146" s="46"/>
      <c r="C146" s="47" t="s">
        <v>8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79">
        <f t="shared" ref="O146:Z146" si="16">O2</f>
        <v>2019</v>
      </c>
      <c r="P146" s="79">
        <f t="shared" si="16"/>
        <v>2020</v>
      </c>
      <c r="Q146" s="79">
        <f t="shared" si="16"/>
        <v>2021</v>
      </c>
      <c r="R146" s="79">
        <f t="shared" si="16"/>
        <v>2022</v>
      </c>
      <c r="S146" s="79">
        <f t="shared" si="16"/>
        <v>2023</v>
      </c>
      <c r="T146" s="79">
        <f t="shared" si="16"/>
        <v>2024</v>
      </c>
      <c r="U146" s="79">
        <f t="shared" si="16"/>
        <v>2025</v>
      </c>
      <c r="V146" s="79">
        <f t="shared" si="16"/>
        <v>2026</v>
      </c>
      <c r="W146" s="79">
        <f t="shared" si="16"/>
        <v>2027</v>
      </c>
      <c r="X146" s="79">
        <f t="shared" si="16"/>
        <v>2028</v>
      </c>
      <c r="Y146" s="79">
        <f t="shared" si="16"/>
        <v>2029</v>
      </c>
      <c r="Z146" s="79">
        <f t="shared" si="16"/>
        <v>2030</v>
      </c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</row>
    <row r="147" spans="1:57" x14ac:dyDescent="0.2">
      <c r="A147" s="46"/>
      <c r="B147" s="46"/>
      <c r="C147" s="47"/>
      <c r="D147" s="48" t="s">
        <v>184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66">
        <f>O128</f>
        <v>428641.02</v>
      </c>
      <c r="P147" s="66">
        <f t="shared" ref="P147:Z147" si="17">P128</f>
        <v>471013.02000000014</v>
      </c>
      <c r="Q147" s="66">
        <f t="shared" si="17"/>
        <v>518372.64000000013</v>
      </c>
      <c r="R147" s="66">
        <f t="shared" si="17"/>
        <v>570341.34000000008</v>
      </c>
      <c r="S147" s="66">
        <f t="shared" si="17"/>
        <v>627364.26000000013</v>
      </c>
      <c r="T147" s="66">
        <f t="shared" si="17"/>
        <v>689753.34000000008</v>
      </c>
      <c r="U147" s="66">
        <f t="shared" si="17"/>
        <v>758710.8</v>
      </c>
      <c r="V147" s="66">
        <f t="shared" si="17"/>
        <v>834548.58000000007</v>
      </c>
      <c r="W147" s="66">
        <f t="shared" si="17"/>
        <v>918156.96000000008</v>
      </c>
      <c r="X147" s="66">
        <f t="shared" si="17"/>
        <v>1009781.2800000001</v>
      </c>
      <c r="Y147" s="66">
        <f t="shared" si="17"/>
        <v>1111068.9000000001</v>
      </c>
      <c r="Z147" s="66">
        <f t="shared" si="17"/>
        <v>1222019.8200000003</v>
      </c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</row>
    <row r="148" spans="1:57" x14ac:dyDescent="0.2">
      <c r="A148" s="46"/>
      <c r="B148" s="46"/>
      <c r="C148" s="47"/>
      <c r="D148" s="48" t="s">
        <v>174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66">
        <f>$J$140</f>
        <v>1120830.100425198</v>
      </c>
      <c r="P148" s="66">
        <f t="shared" ref="P148:Z148" si="18">$J$140</f>
        <v>1120830.100425198</v>
      </c>
      <c r="Q148" s="66">
        <f t="shared" si="18"/>
        <v>1120830.100425198</v>
      </c>
      <c r="R148" s="66">
        <f t="shared" si="18"/>
        <v>1120830.100425198</v>
      </c>
      <c r="S148" s="66">
        <f t="shared" si="18"/>
        <v>1120830.100425198</v>
      </c>
      <c r="T148" s="66">
        <f t="shared" si="18"/>
        <v>1120830.100425198</v>
      </c>
      <c r="U148" s="66">
        <f t="shared" si="18"/>
        <v>1120830.100425198</v>
      </c>
      <c r="V148" s="66">
        <f t="shared" si="18"/>
        <v>1120830.100425198</v>
      </c>
      <c r="W148" s="66">
        <f t="shared" si="18"/>
        <v>1120830.100425198</v>
      </c>
      <c r="X148" s="66">
        <f t="shared" si="18"/>
        <v>1120830.100425198</v>
      </c>
      <c r="Y148" s="66">
        <f t="shared" si="18"/>
        <v>1120830.100425198</v>
      </c>
      <c r="Z148" s="66">
        <f t="shared" si="18"/>
        <v>1120830.100425198</v>
      </c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</row>
    <row r="149" spans="1:57" x14ac:dyDescent="0.2">
      <c r="A149" s="46"/>
      <c r="B149" s="46"/>
      <c r="C149" s="47"/>
      <c r="D149" s="48" t="s">
        <v>185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91" t="b">
        <f>(O147&gt;=O148)</f>
        <v>0</v>
      </c>
      <c r="P149" s="91" t="b">
        <f t="shared" ref="P149:Z149" si="19">(P147&gt;=P148)</f>
        <v>0</v>
      </c>
      <c r="Q149" s="91" t="b">
        <f t="shared" si="19"/>
        <v>0</v>
      </c>
      <c r="R149" s="91" t="b">
        <f t="shared" si="19"/>
        <v>0</v>
      </c>
      <c r="S149" s="91" t="b">
        <f t="shared" si="19"/>
        <v>0</v>
      </c>
      <c r="T149" s="91" t="b">
        <f t="shared" si="19"/>
        <v>0</v>
      </c>
      <c r="U149" s="91" t="b">
        <f t="shared" si="19"/>
        <v>0</v>
      </c>
      <c r="V149" s="91" t="b">
        <f t="shared" si="19"/>
        <v>0</v>
      </c>
      <c r="W149" s="91" t="b">
        <f t="shared" si="19"/>
        <v>0</v>
      </c>
      <c r="X149" s="91" t="b">
        <f t="shared" si="19"/>
        <v>0</v>
      </c>
      <c r="Y149" s="91" t="b">
        <f t="shared" si="19"/>
        <v>0</v>
      </c>
      <c r="Z149" s="91" t="b">
        <f t="shared" si="19"/>
        <v>1</v>
      </c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</row>
    <row r="150" spans="1:57" x14ac:dyDescent="0.2">
      <c r="A150" s="46"/>
      <c r="B150" s="46"/>
      <c r="C150" s="47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</row>
    <row r="151" spans="1:57" x14ac:dyDescent="0.2">
      <c r="A151" s="49" t="s">
        <v>147</v>
      </c>
      <c r="B151" s="49"/>
      <c r="C151" s="50"/>
      <c r="D151" s="51"/>
      <c r="E151" s="51"/>
      <c r="F151" s="51"/>
      <c r="G151" s="51"/>
      <c r="H151" s="51"/>
      <c r="I151" s="51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P39" sqref="P39"/>
    </sheetView>
  </sheetViews>
  <sheetFormatPr defaultColWidth="0" defaultRowHeight="12.75" zeroHeight="1" x14ac:dyDescent="0.2"/>
  <cols>
    <col min="1" max="8" width="3.125" style="41" customWidth="1"/>
    <col min="9" max="9" width="16.25" style="41" customWidth="1"/>
    <col min="10" max="26" width="12.5" style="41" customWidth="1"/>
    <col min="27" max="27" width="3" style="41" customWidth="1"/>
    <col min="28" max="57" width="0.625" style="41" customWidth="1"/>
    <col min="58" max="16384" width="9" style="41" hidden="1"/>
  </cols>
  <sheetData>
    <row r="1" spans="1:57" ht="13.15" x14ac:dyDescent="0.4">
      <c r="A1" s="38" t="str">
        <f>Inputs!A1</f>
        <v>CitiPower - CBD Cable Pits</v>
      </c>
      <c r="B1" s="38"/>
      <c r="C1" s="39"/>
      <c r="D1" s="40"/>
      <c r="E1" s="40"/>
      <c r="F1" s="40"/>
      <c r="G1" s="40"/>
      <c r="H1" s="40"/>
      <c r="I1" s="40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13.15" x14ac:dyDescent="0.4">
      <c r="A2" s="42" t="str">
        <f ca="1">RIGHT(CELL("filename", $A$1), LEN(CELL("filename", $A$1)) - SEARCH("]", CELL("filename", $A$1)))</f>
        <v>Scenario C</v>
      </c>
      <c r="B2" s="42"/>
      <c r="C2" s="43"/>
      <c r="D2" s="44"/>
      <c r="E2" s="44"/>
      <c r="F2" s="44"/>
      <c r="G2" s="44"/>
      <c r="H2" s="44"/>
      <c r="I2" s="44"/>
      <c r="J2" s="42"/>
      <c r="K2" s="42"/>
      <c r="L2" s="42"/>
      <c r="M2" s="42"/>
      <c r="N2" s="42"/>
      <c r="O2" s="45">
        <f>Inputs!O2</f>
        <v>2019</v>
      </c>
      <c r="P2" s="45">
        <f>Inputs!P2</f>
        <v>2020</v>
      </c>
      <c r="Q2" s="45">
        <f>Inputs!Q2</f>
        <v>2021</v>
      </c>
      <c r="R2" s="45">
        <f>Inputs!R2</f>
        <v>2022</v>
      </c>
      <c r="S2" s="45">
        <f>Inputs!S2</f>
        <v>2023</v>
      </c>
      <c r="T2" s="45">
        <f>Inputs!T2</f>
        <v>2024</v>
      </c>
      <c r="U2" s="45">
        <f>Inputs!U2</f>
        <v>2025</v>
      </c>
      <c r="V2" s="45">
        <f>Inputs!V2</f>
        <v>2026</v>
      </c>
      <c r="W2" s="45">
        <f>Inputs!W2</f>
        <v>2027</v>
      </c>
      <c r="X2" s="45">
        <f>Inputs!X2</f>
        <v>2028</v>
      </c>
      <c r="Y2" s="45">
        <f>Inputs!Y2</f>
        <v>2029</v>
      </c>
      <c r="Z2" s="45">
        <f>Inputs!Z2</f>
        <v>2030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</row>
    <row r="3" spans="1:57" ht="13.15" x14ac:dyDescent="0.4">
      <c r="A3" s="46"/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ht="13.15" x14ac:dyDescent="0.4">
      <c r="A4" s="49" t="str">
        <f>C8&amp;" "&amp;I8&amp;": "&amp;B6</f>
        <v>Scenario C: Consequence calculation</v>
      </c>
      <c r="B4" s="49"/>
      <c r="C4" s="50"/>
      <c r="D4" s="51"/>
      <c r="E4" s="51"/>
      <c r="F4" s="51"/>
      <c r="G4" s="51"/>
      <c r="H4" s="51"/>
      <c r="I4" s="5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ht="13.15" x14ac:dyDescent="0.4">
      <c r="A5" s="46"/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</row>
    <row r="6" spans="1:57" ht="13.15" x14ac:dyDescent="0.4">
      <c r="A6" s="46"/>
      <c r="B6" s="46" t="s">
        <v>148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</row>
    <row r="7" spans="1:57" ht="13.15" x14ac:dyDescent="0.4">
      <c r="A7" s="46"/>
      <c r="B7" s="46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ht="13.15" x14ac:dyDescent="0.4">
      <c r="A8" s="46"/>
      <c r="B8" s="46"/>
      <c r="C8" s="47" t="s">
        <v>149</v>
      </c>
      <c r="D8" s="48"/>
      <c r="E8" s="48"/>
      <c r="F8" s="48"/>
      <c r="G8" s="48"/>
      <c r="H8" s="48"/>
      <c r="I8" s="52" t="s">
        <v>31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</row>
    <row r="9" spans="1:57" ht="13.15" x14ac:dyDescent="0.4">
      <c r="A9" s="46"/>
      <c r="B9" s="46"/>
      <c r="C9" s="47"/>
      <c r="D9" s="48" t="str">
        <f>Inputs!J52</f>
        <v>PoF</v>
      </c>
      <c r="E9" s="48"/>
      <c r="F9" s="48"/>
      <c r="G9" s="48"/>
      <c r="H9" s="48"/>
      <c r="I9" s="53">
        <f>INDEX(Inputs!$D$52:$O$57,MATCH('Scenario C'!$I$8,Inputs!$D$52:$D$57,0),MATCH('Scenario C'!$D9,Inputs!$D$52:$O$52,0))</f>
        <v>1.1000000000000001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13.15" x14ac:dyDescent="0.4">
      <c r="A10" s="46"/>
      <c r="B10" s="46"/>
      <c r="C10" s="47"/>
      <c r="D10" s="48" t="str">
        <f>Inputs!K52</f>
        <v>Capex</v>
      </c>
      <c r="E10" s="48"/>
      <c r="F10" s="48"/>
      <c r="G10" s="48"/>
      <c r="H10" s="48"/>
      <c r="I10" s="53">
        <f>INDEX(Inputs!$D$52:$O$57,MATCH('Scenario C'!$I$8,Inputs!$D$52:$D$57,0),MATCH('Scenario C'!$D10,Inputs!$D$52:$O$52,0))</f>
        <v>1.1000000000000001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</row>
    <row r="11" spans="1:57" ht="13.15" x14ac:dyDescent="0.4">
      <c r="A11" s="46"/>
      <c r="B11" s="46"/>
      <c r="C11" s="47"/>
      <c r="D11" s="48" t="str">
        <f>Inputs!L52</f>
        <v>Opex</v>
      </c>
      <c r="E11" s="48"/>
      <c r="F11" s="48"/>
      <c r="G11" s="48"/>
      <c r="H11" s="48"/>
      <c r="I11" s="53">
        <f>INDEX(Inputs!$D$52:$O$57,MATCH('Scenario C'!$I$8,Inputs!$D$52:$D$57,0),MATCH('Scenario C'!$D11,Inputs!$D$52:$O$52,0))</f>
        <v>1.1000000000000001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</row>
    <row r="12" spans="1:57" ht="13.15" x14ac:dyDescent="0.4">
      <c r="A12" s="46"/>
      <c r="B12" s="46"/>
      <c r="C12" s="47"/>
      <c r="D12" s="48" t="str">
        <f>Inputs!M52</f>
        <v>Demand</v>
      </c>
      <c r="E12" s="48"/>
      <c r="F12" s="48"/>
      <c r="G12" s="48"/>
      <c r="H12" s="48"/>
      <c r="I12" s="53">
        <f>INDEX(Inputs!$D$52:$O$57,MATCH('Scenario C'!$I$8,Inputs!$D$52:$D$57,0),MATCH('Scenario C'!$D12,Inputs!$D$52:$O$52,0))</f>
        <v>1.05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</row>
    <row r="13" spans="1:57" ht="13.15" x14ac:dyDescent="0.4">
      <c r="A13" s="46"/>
      <c r="B13" s="46"/>
      <c r="C13" s="47"/>
      <c r="D13" s="48" t="str">
        <f>Inputs!N52</f>
        <v>VCR</v>
      </c>
      <c r="E13" s="48"/>
      <c r="F13" s="48"/>
      <c r="G13" s="48"/>
      <c r="H13" s="48"/>
      <c r="I13" s="53">
        <f>INDEX(Inputs!$D$52:$O$57,MATCH('Scenario C'!$I$8,Inputs!$D$52:$D$57,0),MATCH('Scenario C'!$D13,Inputs!$D$52:$O$52,0))</f>
        <v>1.1000000000000001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</row>
    <row r="14" spans="1:57" ht="13.15" x14ac:dyDescent="0.4">
      <c r="A14" s="46"/>
      <c r="B14" s="46"/>
      <c r="C14" s="47"/>
      <c r="D14" s="48" t="str">
        <f>Inputs!O52</f>
        <v>Environment</v>
      </c>
      <c r="E14" s="48"/>
      <c r="F14" s="48"/>
      <c r="G14" s="48"/>
      <c r="H14" s="48"/>
      <c r="I14" s="53">
        <f>INDEX(Inputs!$D$52:$O$57,MATCH('Scenario C'!$I$8,Inputs!$D$52:$D$57,0),MATCH('Scenario C'!$D14,Inputs!$D$52:$O$52,0))</f>
        <v>1.1000000000000001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</row>
    <row r="15" spans="1:57" ht="13.15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</row>
    <row r="16" spans="1:57" ht="39.4" x14ac:dyDescent="0.4">
      <c r="A16" s="46"/>
      <c r="B16" s="46"/>
      <c r="C16" s="47"/>
      <c r="D16" s="48"/>
      <c r="E16" s="48"/>
      <c r="F16" s="48"/>
      <c r="G16" s="48"/>
      <c r="H16" s="48"/>
      <c r="I16" s="54" t="s">
        <v>69</v>
      </c>
      <c r="J16" s="55" t="s">
        <v>150</v>
      </c>
      <c r="K16" s="55" t="s">
        <v>151</v>
      </c>
      <c r="L16" s="55"/>
      <c r="M16" s="55"/>
      <c r="N16" s="56"/>
      <c r="O16" s="54" t="s">
        <v>152</v>
      </c>
      <c r="P16" s="55" t="s">
        <v>153</v>
      </c>
      <c r="Q16" s="55" t="s">
        <v>154</v>
      </c>
      <c r="R16" s="55" t="s">
        <v>155</v>
      </c>
      <c r="S16" s="55" t="s">
        <v>25</v>
      </c>
      <c r="T16" s="57" t="s">
        <v>156</v>
      </c>
      <c r="U16" s="54" t="s">
        <v>157</v>
      </c>
      <c r="V16" s="58" t="s">
        <v>158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</row>
    <row r="17" spans="1:57" ht="13.15" x14ac:dyDescent="0.4">
      <c r="A17" s="46"/>
      <c r="B17" s="46"/>
      <c r="C17" s="47"/>
      <c r="D17" s="48"/>
      <c r="E17" s="48"/>
      <c r="F17" s="48"/>
      <c r="G17" s="48"/>
      <c r="H17" s="48"/>
      <c r="I17" s="59">
        <f>INDEX(Inputs!$J$64:$J$66,MATCH('Scenario C'!J17,Inputs!$D$64:$D$66,0))</f>
        <v>3</v>
      </c>
      <c r="J17" s="92" t="s">
        <v>40</v>
      </c>
      <c r="K17" s="93" t="str">
        <f>'Base Case'!K17</f>
        <v>Expected average unserved energy @ VCR</v>
      </c>
      <c r="L17" s="94"/>
      <c r="M17" s="94"/>
      <c r="N17" s="95"/>
      <c r="O17" s="60">
        <f>'Base Case'!O17*'Scenario C'!$I$13</f>
        <v>550000</v>
      </c>
      <c r="P17" s="60">
        <v>0</v>
      </c>
      <c r="Q17" s="60">
        <f>'Base Case'!Q17*'Scenario C'!$I$11</f>
        <v>0</v>
      </c>
      <c r="R17" s="60">
        <f>'Base Case'!R17*'Scenario C'!$I$10</f>
        <v>0</v>
      </c>
      <c r="S17" s="60">
        <v>0</v>
      </c>
      <c r="T17" s="116">
        <f>'Base Case'!$T17</f>
        <v>1</v>
      </c>
      <c r="U17" s="60">
        <f>SUM(O17:S17)*T17</f>
        <v>550000</v>
      </c>
      <c r="V17" s="63">
        <f>SUM(P17:S17)*T17</f>
        <v>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</row>
    <row r="18" spans="1:57" ht="13.15" x14ac:dyDescent="0.4">
      <c r="A18" s="46"/>
      <c r="B18" s="46"/>
      <c r="C18" s="47"/>
      <c r="D18" s="48"/>
      <c r="E18" s="48"/>
      <c r="F18" s="48"/>
      <c r="G18" s="48"/>
      <c r="H18" s="48"/>
      <c r="I18" s="64">
        <f>INDEX(Inputs!$J$64:$J$66,MATCH('Scenario C'!J18,Inputs!$D$64:$D$66,0))</f>
        <v>3</v>
      </c>
      <c r="J18" s="96" t="s">
        <v>40</v>
      </c>
      <c r="K18" s="97" t="str">
        <f>'Base Case'!K18</f>
        <v>Safety consequence</v>
      </c>
      <c r="L18" s="98"/>
      <c r="M18" s="98"/>
      <c r="N18" s="99"/>
      <c r="O18" s="60">
        <v>0</v>
      </c>
      <c r="P18" s="60">
        <f>'Base Case'!P18</f>
        <v>14280000.000000002</v>
      </c>
      <c r="Q18" s="60">
        <f>'Base Case'!Q18*'Scenario C'!$I$11</f>
        <v>0</v>
      </c>
      <c r="R18" s="60">
        <f>'Base Case'!R18*'Scenario C'!$I$10</f>
        <v>0</v>
      </c>
      <c r="S18" s="60">
        <v>0</v>
      </c>
      <c r="T18" s="69">
        <f>'Base Case'!$T18</f>
        <v>0.2</v>
      </c>
      <c r="U18" s="70">
        <f t="shared" ref="U18:U46" si="0">SUM(O18:S18)*T18</f>
        <v>2856000.0000000005</v>
      </c>
      <c r="V18" s="71">
        <f t="shared" ref="V18:V46" si="1">SUM(P18:S18)*T18</f>
        <v>2856000.0000000005</v>
      </c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</row>
    <row r="19" spans="1:57" ht="13.15" x14ac:dyDescent="0.4">
      <c r="A19" s="46"/>
      <c r="B19" s="46"/>
      <c r="C19" s="47"/>
      <c r="D19" s="48"/>
      <c r="E19" s="48"/>
      <c r="F19" s="48"/>
      <c r="G19" s="48"/>
      <c r="H19" s="48"/>
      <c r="I19" s="64">
        <f>INDEX(Inputs!$J$64:$J$66,MATCH('Scenario C'!J19,Inputs!$D$64:$D$66,0))</f>
        <v>3</v>
      </c>
      <c r="J19" s="96" t="s">
        <v>40</v>
      </c>
      <c r="K19" s="97" t="str">
        <f>'Base Case'!K19</f>
        <v>Pit repair cost</v>
      </c>
      <c r="L19" s="98"/>
      <c r="M19" s="98"/>
      <c r="N19" s="99"/>
      <c r="O19" s="60">
        <v>0</v>
      </c>
      <c r="P19" s="60">
        <v>0</v>
      </c>
      <c r="Q19" s="60">
        <f>'Base Case'!Q19*'Scenario C'!$I$11</f>
        <v>0</v>
      </c>
      <c r="R19" s="60">
        <f>'Base Case'!R19*'Scenario C'!$I$10</f>
        <v>550000</v>
      </c>
      <c r="S19" s="60">
        <v>0</v>
      </c>
      <c r="T19" s="69">
        <f>'Base Case'!$T19</f>
        <v>1</v>
      </c>
      <c r="U19" s="70">
        <f t="shared" si="0"/>
        <v>550000</v>
      </c>
      <c r="V19" s="71">
        <f t="shared" si="1"/>
        <v>550000</v>
      </c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</row>
    <row r="20" spans="1:57" ht="13.15" x14ac:dyDescent="0.4">
      <c r="A20" s="46"/>
      <c r="B20" s="46"/>
      <c r="C20" s="47"/>
      <c r="D20" s="48"/>
      <c r="E20" s="48"/>
      <c r="F20" s="48"/>
      <c r="G20" s="48"/>
      <c r="H20" s="48"/>
      <c r="I20" s="64">
        <f>INDEX(Inputs!$J$64:$J$66,MATCH('Scenario C'!J20,Inputs!$D$64:$D$66,0))</f>
        <v>3</v>
      </c>
      <c r="J20" s="96" t="s">
        <v>40</v>
      </c>
      <c r="K20" s="97" t="str">
        <f>'Base Case'!K20</f>
        <v>Electrical Asset repair</v>
      </c>
      <c r="L20" s="98"/>
      <c r="M20" s="98"/>
      <c r="N20" s="99"/>
      <c r="O20" s="60">
        <v>0</v>
      </c>
      <c r="P20" s="60">
        <v>0</v>
      </c>
      <c r="Q20" s="60">
        <f>'Base Case'!Q20*'Scenario C'!$I$11</f>
        <v>440000.00000000006</v>
      </c>
      <c r="R20" s="60">
        <f>'Base Case'!R20*'Scenario C'!$I$10</f>
        <v>0</v>
      </c>
      <c r="S20" s="60">
        <v>0</v>
      </c>
      <c r="T20" s="69">
        <f>'Base Case'!$T20</f>
        <v>1</v>
      </c>
      <c r="U20" s="70">
        <f t="shared" si="0"/>
        <v>440000.00000000006</v>
      </c>
      <c r="V20" s="71">
        <f t="shared" si="1"/>
        <v>440000.00000000006</v>
      </c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</row>
    <row r="21" spans="1:57" ht="13.15" x14ac:dyDescent="0.4">
      <c r="A21" s="46"/>
      <c r="B21" s="46"/>
      <c r="C21" s="47"/>
      <c r="D21" s="48"/>
      <c r="E21" s="48"/>
      <c r="F21" s="48"/>
      <c r="G21" s="48"/>
      <c r="H21" s="48"/>
      <c r="I21" s="64">
        <f>INDEX(Inputs!$J$64:$J$66,MATCH('Scenario C'!J21,Inputs!$D$64:$D$66,0))</f>
        <v>3</v>
      </c>
      <c r="J21" s="96" t="s">
        <v>40</v>
      </c>
      <c r="K21" s="97" t="str">
        <f>'Base Case'!K21</f>
        <v>Damage to telecommunications</v>
      </c>
      <c r="L21" s="98"/>
      <c r="M21" s="98"/>
      <c r="N21" s="99"/>
      <c r="O21" s="60">
        <v>0</v>
      </c>
      <c r="P21" s="60">
        <v>0</v>
      </c>
      <c r="Q21" s="60">
        <f>'Base Case'!Q21*'Scenario C'!$I$11</f>
        <v>550000</v>
      </c>
      <c r="R21" s="60">
        <f>'Base Case'!R21*'Scenario C'!$I$10</f>
        <v>0</v>
      </c>
      <c r="S21" s="60">
        <v>0</v>
      </c>
      <c r="T21" s="69">
        <f>'Base Case'!$T21</f>
        <v>0.2</v>
      </c>
      <c r="U21" s="70">
        <f t="shared" si="0"/>
        <v>110000</v>
      </c>
      <c r="V21" s="71">
        <f t="shared" si="1"/>
        <v>110000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ht="13.15" x14ac:dyDescent="0.4">
      <c r="A22" s="46"/>
      <c r="B22" s="46"/>
      <c r="C22" s="47"/>
      <c r="D22" s="48"/>
      <c r="E22" s="48"/>
      <c r="F22" s="48"/>
      <c r="G22" s="48"/>
      <c r="H22" s="48"/>
      <c r="I22" s="64">
        <f>INDEX(Inputs!$J$64:$J$66,MATCH('Scenario C'!J22,Inputs!$D$64:$D$66,0))</f>
        <v>3</v>
      </c>
      <c r="J22" s="96" t="s">
        <v>40</v>
      </c>
      <c r="K22" s="97" t="str">
        <f>'Base Case'!K22</f>
        <v>[Spare]</v>
      </c>
      <c r="L22" s="98"/>
      <c r="M22" s="98"/>
      <c r="N22" s="99"/>
      <c r="O22" s="60">
        <v>0</v>
      </c>
      <c r="P22" s="60">
        <v>0</v>
      </c>
      <c r="Q22" s="60">
        <v>0</v>
      </c>
      <c r="R22" s="60">
        <f>'Base Case'!R22*'Scenario C'!$I$10</f>
        <v>0</v>
      </c>
      <c r="S22" s="60">
        <v>0</v>
      </c>
      <c r="T22" s="69">
        <f>'Base Case'!$T22</f>
        <v>0</v>
      </c>
      <c r="U22" s="70">
        <f t="shared" si="0"/>
        <v>0</v>
      </c>
      <c r="V22" s="71">
        <f t="shared" si="1"/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</row>
    <row r="23" spans="1:57" ht="13.15" x14ac:dyDescent="0.4">
      <c r="A23" s="46"/>
      <c r="B23" s="46"/>
      <c r="C23" s="47"/>
      <c r="D23" s="48"/>
      <c r="E23" s="48"/>
      <c r="F23" s="48"/>
      <c r="G23" s="48"/>
      <c r="H23" s="48"/>
      <c r="I23" s="64">
        <f>INDEX(Inputs!$J$64:$J$66,MATCH('Scenario C'!J23,Inputs!$D$64:$D$66,0))</f>
        <v>3</v>
      </c>
      <c r="J23" s="96" t="s">
        <v>40</v>
      </c>
      <c r="K23" s="97" t="str">
        <f>'Base Case'!K23</f>
        <v>[Spare]</v>
      </c>
      <c r="L23" s="98"/>
      <c r="M23" s="98"/>
      <c r="N23" s="99"/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9">
        <f>'Base Case'!$T23</f>
        <v>0</v>
      </c>
      <c r="U23" s="70">
        <f t="shared" si="0"/>
        <v>0</v>
      </c>
      <c r="V23" s="71">
        <f t="shared" si="1"/>
        <v>0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ht="13.15" x14ac:dyDescent="0.4">
      <c r="A24" s="46"/>
      <c r="B24" s="46"/>
      <c r="C24" s="47"/>
      <c r="D24" s="48"/>
      <c r="E24" s="48"/>
      <c r="F24" s="48"/>
      <c r="G24" s="48"/>
      <c r="H24" s="48"/>
      <c r="I24" s="64">
        <f>INDEX(Inputs!$J$64:$J$66,MATCH('Scenario C'!J24,Inputs!$D$64:$D$66,0))</f>
        <v>3</v>
      </c>
      <c r="J24" s="105" t="s">
        <v>40</v>
      </c>
      <c r="K24" s="106" t="str">
        <f>'Base Case'!K24</f>
        <v>[Spare]</v>
      </c>
      <c r="L24" s="107"/>
      <c r="M24" s="107"/>
      <c r="N24" s="108"/>
      <c r="O24" s="65">
        <v>0</v>
      </c>
      <c r="P24" s="109">
        <v>0</v>
      </c>
      <c r="Q24" s="109">
        <v>0</v>
      </c>
      <c r="R24" s="109">
        <v>0</v>
      </c>
      <c r="S24" s="110">
        <v>0</v>
      </c>
      <c r="T24" s="69">
        <f>'Base Case'!$T24</f>
        <v>0</v>
      </c>
      <c r="U24" s="70">
        <f t="shared" si="0"/>
        <v>0</v>
      </c>
      <c r="V24" s="71">
        <f t="shared" si="1"/>
        <v>0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</row>
    <row r="25" spans="1:57" ht="13.15" x14ac:dyDescent="0.4">
      <c r="A25" s="46"/>
      <c r="B25" s="46"/>
      <c r="C25" s="47"/>
      <c r="D25" s="48"/>
      <c r="E25" s="48"/>
      <c r="F25" s="48"/>
      <c r="G25" s="48"/>
      <c r="H25" s="48"/>
      <c r="I25" s="64">
        <f>INDEX(Inputs!$J$64:$J$66,MATCH('Scenario C'!J25,Inputs!$D$64:$D$66,0))</f>
        <v>3</v>
      </c>
      <c r="J25" s="96" t="s">
        <v>40</v>
      </c>
      <c r="K25" s="97" t="str">
        <f>'Base Case'!K25</f>
        <v>[Spare]</v>
      </c>
      <c r="L25" s="98"/>
      <c r="M25" s="98"/>
      <c r="N25" s="99"/>
      <c r="O25" s="65">
        <v>0</v>
      </c>
      <c r="P25" s="67">
        <v>0</v>
      </c>
      <c r="Q25" s="67">
        <v>0</v>
      </c>
      <c r="R25" s="67">
        <v>0</v>
      </c>
      <c r="S25" s="68">
        <v>0</v>
      </c>
      <c r="T25" s="69">
        <f>'Base Case'!$T25</f>
        <v>0</v>
      </c>
      <c r="U25" s="70">
        <f t="shared" si="0"/>
        <v>0</v>
      </c>
      <c r="V25" s="71">
        <f t="shared" si="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</row>
    <row r="26" spans="1:57" ht="13.15" x14ac:dyDescent="0.4">
      <c r="A26" s="46"/>
      <c r="B26" s="46"/>
      <c r="C26" s="47"/>
      <c r="D26" s="48"/>
      <c r="E26" s="48"/>
      <c r="F26" s="48"/>
      <c r="G26" s="48"/>
      <c r="H26" s="48"/>
      <c r="I26" s="72">
        <f>INDEX(Inputs!$J$64:$J$66,MATCH('Scenario C'!J26,Inputs!$D$64:$D$66,0))</f>
        <v>3</v>
      </c>
      <c r="J26" s="100" t="s">
        <v>40</v>
      </c>
      <c r="K26" s="101" t="str">
        <f>'Base Case'!K26</f>
        <v>[Spare]</v>
      </c>
      <c r="L26" s="102"/>
      <c r="M26" s="102"/>
      <c r="N26" s="103"/>
      <c r="O26" s="73">
        <v>0</v>
      </c>
      <c r="P26" s="74">
        <v>0</v>
      </c>
      <c r="Q26" s="74">
        <v>0</v>
      </c>
      <c r="R26" s="74">
        <v>0</v>
      </c>
      <c r="S26" s="75">
        <v>0</v>
      </c>
      <c r="T26" s="117">
        <f>'Base Case'!$T26</f>
        <v>0</v>
      </c>
      <c r="U26" s="76">
        <f t="shared" si="0"/>
        <v>0</v>
      </c>
      <c r="V26" s="77">
        <f t="shared" si="1"/>
        <v>0</v>
      </c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</row>
    <row r="27" spans="1:57" ht="13.15" x14ac:dyDescent="0.4">
      <c r="A27" s="46"/>
      <c r="B27" s="46"/>
      <c r="C27" s="47"/>
      <c r="D27" s="48"/>
      <c r="E27" s="48"/>
      <c r="F27" s="48"/>
      <c r="G27" s="48"/>
      <c r="H27" s="48"/>
      <c r="I27" s="59">
        <f>INDEX(Inputs!$J$64:$J$66,MATCH('Scenario C'!J27,Inputs!$D$64:$D$66,0))</f>
        <v>2</v>
      </c>
      <c r="J27" s="92" t="s">
        <v>39</v>
      </c>
      <c r="K27" s="93" t="str">
        <f>'Base Case'!K27</f>
        <v>Expected average unserved energy @ VCR</v>
      </c>
      <c r="L27" s="94"/>
      <c r="M27" s="94"/>
      <c r="N27" s="95"/>
      <c r="O27" s="60">
        <f>'Base Case'!O27*'Scenario C'!$I$13</f>
        <v>550000</v>
      </c>
      <c r="P27" s="60">
        <v>0</v>
      </c>
      <c r="Q27" s="60">
        <f>'Base Case'!Q27*'Scenario C'!$I$11</f>
        <v>0</v>
      </c>
      <c r="R27" s="60">
        <f>'Base Case'!R27*'Scenario C'!$I$10</f>
        <v>0</v>
      </c>
      <c r="S27" s="60">
        <v>0</v>
      </c>
      <c r="T27" s="116">
        <f>'Base Case'!$T27</f>
        <v>1</v>
      </c>
      <c r="U27" s="60">
        <f t="shared" si="0"/>
        <v>550000</v>
      </c>
      <c r="V27" s="63">
        <f t="shared" si="1"/>
        <v>0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</row>
    <row r="28" spans="1:57" ht="13.15" x14ac:dyDescent="0.4">
      <c r="A28" s="46"/>
      <c r="B28" s="46"/>
      <c r="C28" s="47"/>
      <c r="D28" s="48"/>
      <c r="E28" s="48"/>
      <c r="F28" s="48"/>
      <c r="G28" s="48"/>
      <c r="H28" s="48"/>
      <c r="I28" s="64">
        <f>INDEX(Inputs!$J$64:$J$66,MATCH('Scenario C'!J28,Inputs!$D$64:$D$66,0))</f>
        <v>2</v>
      </c>
      <c r="J28" s="96" t="s">
        <v>39</v>
      </c>
      <c r="K28" s="97" t="str">
        <f>'Base Case'!K28</f>
        <v>Safety consequence</v>
      </c>
      <c r="L28" s="98"/>
      <c r="M28" s="98"/>
      <c r="N28" s="99"/>
      <c r="O28" s="60">
        <v>0</v>
      </c>
      <c r="P28" s="60">
        <f>'Base Case'!P28</f>
        <v>14280000.000000002</v>
      </c>
      <c r="Q28" s="60">
        <f>'Base Case'!Q28*'Scenario C'!$I$11</f>
        <v>0</v>
      </c>
      <c r="R28" s="60">
        <f>'Base Case'!R28*'Scenario C'!$I$10</f>
        <v>0</v>
      </c>
      <c r="S28" s="60">
        <v>0</v>
      </c>
      <c r="T28" s="69">
        <f>'Base Case'!$T28</f>
        <v>0.2</v>
      </c>
      <c r="U28" s="70">
        <f t="shared" si="0"/>
        <v>2856000.0000000005</v>
      </c>
      <c r="V28" s="71">
        <f t="shared" si="1"/>
        <v>2856000.0000000005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</row>
    <row r="29" spans="1:57" ht="13.15" x14ac:dyDescent="0.4">
      <c r="A29" s="46"/>
      <c r="B29" s="46"/>
      <c r="C29" s="47"/>
      <c r="D29" s="48"/>
      <c r="E29" s="48"/>
      <c r="F29" s="48"/>
      <c r="G29" s="48"/>
      <c r="H29" s="48"/>
      <c r="I29" s="64">
        <f>INDEX(Inputs!$J$64:$J$66,MATCH('Scenario C'!J29,Inputs!$D$64:$D$66,0))</f>
        <v>2</v>
      </c>
      <c r="J29" s="96" t="s">
        <v>39</v>
      </c>
      <c r="K29" s="97" t="str">
        <f>'Base Case'!K29</f>
        <v>Pit repair cost</v>
      </c>
      <c r="L29" s="98"/>
      <c r="M29" s="98"/>
      <c r="N29" s="99"/>
      <c r="O29" s="60">
        <v>0</v>
      </c>
      <c r="P29" s="60">
        <v>0</v>
      </c>
      <c r="Q29" s="60">
        <f>'Base Case'!Q29*'Scenario C'!$I$11</f>
        <v>0</v>
      </c>
      <c r="R29" s="60">
        <f>'Base Case'!R29*'Scenario C'!$I$10</f>
        <v>550000</v>
      </c>
      <c r="S29" s="60">
        <v>0</v>
      </c>
      <c r="T29" s="69">
        <f>'Base Case'!$T29</f>
        <v>1</v>
      </c>
      <c r="U29" s="70">
        <f t="shared" si="0"/>
        <v>550000</v>
      </c>
      <c r="V29" s="71">
        <f t="shared" si="1"/>
        <v>550000</v>
      </c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ht="13.15" x14ac:dyDescent="0.4">
      <c r="A30" s="46"/>
      <c r="B30" s="46"/>
      <c r="C30" s="47"/>
      <c r="D30" s="48"/>
      <c r="E30" s="48"/>
      <c r="F30" s="48"/>
      <c r="G30" s="48"/>
      <c r="H30" s="48"/>
      <c r="I30" s="64">
        <f>INDEX(Inputs!$J$64:$J$66,MATCH('Scenario C'!J30,Inputs!$D$64:$D$66,0))</f>
        <v>2</v>
      </c>
      <c r="J30" s="96" t="s">
        <v>39</v>
      </c>
      <c r="K30" s="97" t="str">
        <f>'Base Case'!K30</f>
        <v>Electrical Asset repair</v>
      </c>
      <c r="L30" s="98"/>
      <c r="M30" s="98"/>
      <c r="N30" s="99"/>
      <c r="O30" s="60">
        <v>0</v>
      </c>
      <c r="P30" s="60">
        <v>0</v>
      </c>
      <c r="Q30" s="60">
        <f>'Base Case'!Q30*'Scenario C'!$I$11</f>
        <v>440000.00000000006</v>
      </c>
      <c r="R30" s="60">
        <f>'Base Case'!R30*'Scenario C'!$I$10</f>
        <v>0</v>
      </c>
      <c r="S30" s="60">
        <v>0</v>
      </c>
      <c r="T30" s="69">
        <f>'Base Case'!$T30</f>
        <v>1</v>
      </c>
      <c r="U30" s="70">
        <f t="shared" si="0"/>
        <v>440000.00000000006</v>
      </c>
      <c r="V30" s="71">
        <f t="shared" si="1"/>
        <v>440000.00000000006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</row>
    <row r="31" spans="1:57" ht="13.15" x14ac:dyDescent="0.4">
      <c r="A31" s="46"/>
      <c r="B31" s="46"/>
      <c r="C31" s="47"/>
      <c r="D31" s="48"/>
      <c r="E31" s="48"/>
      <c r="F31" s="48"/>
      <c r="G31" s="48"/>
      <c r="H31" s="48"/>
      <c r="I31" s="64">
        <f>INDEX(Inputs!$J$64:$J$66,MATCH('Scenario C'!J31,Inputs!$D$64:$D$66,0))</f>
        <v>2</v>
      </c>
      <c r="J31" s="96" t="s">
        <v>39</v>
      </c>
      <c r="K31" s="97" t="str">
        <f>'Base Case'!K31</f>
        <v>Damage to telecommunications</v>
      </c>
      <c r="L31" s="98"/>
      <c r="M31" s="98"/>
      <c r="N31" s="99"/>
      <c r="O31" s="60">
        <v>0</v>
      </c>
      <c r="P31" s="60">
        <v>0</v>
      </c>
      <c r="Q31" s="60">
        <f>'Base Case'!Q31*'Scenario C'!$I$11</f>
        <v>550000</v>
      </c>
      <c r="R31" s="60">
        <f>'Base Case'!R31*'Scenario C'!$I$10</f>
        <v>0</v>
      </c>
      <c r="S31" s="60">
        <f>Inputs!$K$105*$I$14</f>
        <v>0</v>
      </c>
      <c r="T31" s="69">
        <f>'Base Case'!$T31</f>
        <v>0.2</v>
      </c>
      <c r="U31" s="70">
        <f t="shared" si="0"/>
        <v>110000</v>
      </c>
      <c r="V31" s="71">
        <f t="shared" si="1"/>
        <v>110000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</row>
    <row r="32" spans="1:57" ht="13.15" x14ac:dyDescent="0.4">
      <c r="A32" s="46"/>
      <c r="B32" s="46"/>
      <c r="C32" s="47"/>
      <c r="D32" s="48"/>
      <c r="E32" s="48"/>
      <c r="F32" s="48"/>
      <c r="G32" s="48"/>
      <c r="H32" s="48"/>
      <c r="I32" s="64">
        <f>INDEX(Inputs!$J$64:$J$66,MATCH('Scenario C'!J32,Inputs!$D$64:$D$66,0))</f>
        <v>2</v>
      </c>
      <c r="J32" s="96" t="s">
        <v>39</v>
      </c>
      <c r="K32" s="97" t="str">
        <f>'Base Case'!K32</f>
        <v>[Spare]</v>
      </c>
      <c r="L32" s="98"/>
      <c r="M32" s="98"/>
      <c r="N32" s="99"/>
      <c r="O32" s="60">
        <v>0</v>
      </c>
      <c r="P32" s="60">
        <v>0</v>
      </c>
      <c r="Q32" s="60">
        <f>Inputs!$K$97*$I$11</f>
        <v>0</v>
      </c>
      <c r="R32" s="60">
        <v>0</v>
      </c>
      <c r="S32" s="60">
        <v>0</v>
      </c>
      <c r="T32" s="69">
        <f>'Base Case'!$T32</f>
        <v>0</v>
      </c>
      <c r="U32" s="70">
        <f t="shared" si="0"/>
        <v>0</v>
      </c>
      <c r="V32" s="71">
        <f t="shared" si="1"/>
        <v>0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</row>
    <row r="33" spans="1:57" ht="13.15" x14ac:dyDescent="0.4">
      <c r="A33" s="46"/>
      <c r="B33" s="46"/>
      <c r="C33" s="47"/>
      <c r="D33" s="48"/>
      <c r="E33" s="48"/>
      <c r="F33" s="48"/>
      <c r="G33" s="48"/>
      <c r="H33" s="48"/>
      <c r="I33" s="64">
        <f>INDEX(Inputs!$J$64:$J$66,MATCH('Scenario C'!J33,Inputs!$D$64:$D$66,0))</f>
        <v>2</v>
      </c>
      <c r="J33" s="96" t="s">
        <v>39</v>
      </c>
      <c r="K33" s="97" t="str">
        <f>'Base Case'!K33</f>
        <v>[Spare]</v>
      </c>
      <c r="L33" s="98"/>
      <c r="M33" s="98"/>
      <c r="N33" s="99"/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9">
        <f>'Base Case'!$T33</f>
        <v>0</v>
      </c>
      <c r="U33" s="70">
        <f t="shared" si="0"/>
        <v>0</v>
      </c>
      <c r="V33" s="71">
        <f t="shared" si="1"/>
        <v>0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</row>
    <row r="34" spans="1:57" ht="13.15" x14ac:dyDescent="0.4">
      <c r="A34" s="46"/>
      <c r="B34" s="46"/>
      <c r="C34" s="47"/>
      <c r="D34" s="48"/>
      <c r="E34" s="48"/>
      <c r="F34" s="48"/>
      <c r="G34" s="48"/>
      <c r="H34" s="48"/>
      <c r="I34" s="64">
        <f>INDEX(Inputs!$J$64:$J$66,MATCH('Scenario C'!J34,Inputs!$D$64:$D$66,0))</f>
        <v>2</v>
      </c>
      <c r="J34" s="105" t="s">
        <v>39</v>
      </c>
      <c r="K34" s="106" t="str">
        <f>'Base Case'!K34</f>
        <v>[Spare]</v>
      </c>
      <c r="L34" s="107"/>
      <c r="M34" s="107"/>
      <c r="N34" s="108"/>
      <c r="O34" s="65">
        <v>0</v>
      </c>
      <c r="P34" s="109">
        <v>0</v>
      </c>
      <c r="Q34" s="109">
        <v>0</v>
      </c>
      <c r="R34" s="109">
        <v>0</v>
      </c>
      <c r="S34" s="110">
        <v>0</v>
      </c>
      <c r="T34" s="69">
        <f>'Base Case'!$T34</f>
        <v>0</v>
      </c>
      <c r="U34" s="70">
        <f t="shared" si="0"/>
        <v>0</v>
      </c>
      <c r="V34" s="71">
        <f t="shared" si="1"/>
        <v>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</row>
    <row r="35" spans="1:57" ht="13.15" x14ac:dyDescent="0.4">
      <c r="A35" s="46"/>
      <c r="B35" s="46"/>
      <c r="C35" s="47"/>
      <c r="D35" s="48"/>
      <c r="E35" s="48"/>
      <c r="F35" s="48"/>
      <c r="G35" s="48"/>
      <c r="H35" s="48"/>
      <c r="I35" s="64">
        <f>INDEX(Inputs!$J$64:$J$66,MATCH('Scenario C'!J35,Inputs!$D$64:$D$66,0))</f>
        <v>2</v>
      </c>
      <c r="J35" s="96" t="s">
        <v>39</v>
      </c>
      <c r="K35" s="97" t="str">
        <f>'Base Case'!K35</f>
        <v>[Spare]</v>
      </c>
      <c r="L35" s="98"/>
      <c r="M35" s="98"/>
      <c r="N35" s="99"/>
      <c r="O35" s="65">
        <v>0</v>
      </c>
      <c r="P35" s="67">
        <v>0</v>
      </c>
      <c r="Q35" s="67">
        <v>0</v>
      </c>
      <c r="R35" s="67">
        <v>0</v>
      </c>
      <c r="S35" s="68">
        <v>0</v>
      </c>
      <c r="T35" s="69">
        <f>'Base Case'!$T35</f>
        <v>0</v>
      </c>
      <c r="U35" s="70">
        <f t="shared" si="0"/>
        <v>0</v>
      </c>
      <c r="V35" s="71">
        <f t="shared" si="1"/>
        <v>0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</row>
    <row r="36" spans="1:57" ht="13.15" x14ac:dyDescent="0.4">
      <c r="A36" s="46"/>
      <c r="B36" s="46"/>
      <c r="C36" s="47"/>
      <c r="D36" s="48"/>
      <c r="E36" s="48"/>
      <c r="F36" s="48"/>
      <c r="G36" s="48"/>
      <c r="H36" s="48"/>
      <c r="I36" s="72">
        <f>INDEX(Inputs!$J$64:$J$66,MATCH('Scenario C'!J36,Inputs!$D$64:$D$66,0))</f>
        <v>2</v>
      </c>
      <c r="J36" s="100" t="s">
        <v>39</v>
      </c>
      <c r="K36" s="101" t="str">
        <f>'Base Case'!K36</f>
        <v>[Spare]</v>
      </c>
      <c r="L36" s="102"/>
      <c r="M36" s="102"/>
      <c r="N36" s="103"/>
      <c r="O36" s="73">
        <v>0</v>
      </c>
      <c r="P36" s="74">
        <v>0</v>
      </c>
      <c r="Q36" s="74">
        <v>0</v>
      </c>
      <c r="R36" s="74">
        <v>0</v>
      </c>
      <c r="S36" s="75">
        <v>0</v>
      </c>
      <c r="T36" s="117">
        <f>'Base Case'!$T36</f>
        <v>0</v>
      </c>
      <c r="U36" s="76">
        <f t="shared" si="0"/>
        <v>0</v>
      </c>
      <c r="V36" s="77">
        <f t="shared" si="1"/>
        <v>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</row>
    <row r="37" spans="1:57" ht="13.15" x14ac:dyDescent="0.4">
      <c r="A37" s="46"/>
      <c r="B37" s="46"/>
      <c r="C37" s="47"/>
      <c r="D37" s="48"/>
      <c r="E37" s="48"/>
      <c r="F37" s="48"/>
      <c r="G37" s="48"/>
      <c r="H37" s="48"/>
      <c r="I37" s="59">
        <f>INDEX(Inputs!$J$64:$J$66,MATCH('Scenario C'!J37,Inputs!$D$64:$D$66,0))</f>
        <v>1</v>
      </c>
      <c r="J37" s="92" t="s">
        <v>38</v>
      </c>
      <c r="K37" s="93" t="str">
        <f>'Base Case'!K37</f>
        <v>Safety consequence - pulling eyes</v>
      </c>
      <c r="L37" s="94"/>
      <c r="M37" s="94"/>
      <c r="N37" s="95"/>
      <c r="O37" s="60">
        <f>'Base Case'!O37*'Scenario C'!$I$13</f>
        <v>0</v>
      </c>
      <c r="P37" s="60">
        <f>'Base Case'!P37</f>
        <v>500000</v>
      </c>
      <c r="Q37" s="60">
        <f>'Base Case'!Q37*'Scenario C'!$I$11</f>
        <v>0</v>
      </c>
      <c r="R37" s="60">
        <f>'Base Case'!R37*'Scenario C'!$I$10</f>
        <v>0</v>
      </c>
      <c r="S37" s="60">
        <v>0</v>
      </c>
      <c r="T37" s="116">
        <f>'Base Case'!$T37</f>
        <v>0.5</v>
      </c>
      <c r="U37" s="60">
        <f t="shared" si="0"/>
        <v>250000</v>
      </c>
      <c r="V37" s="63">
        <f t="shared" si="1"/>
        <v>250000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</row>
    <row r="38" spans="1:57" ht="13.15" x14ac:dyDescent="0.4">
      <c r="A38" s="46"/>
      <c r="B38" s="46"/>
      <c r="C38" s="47"/>
      <c r="D38" s="48"/>
      <c r="E38" s="48"/>
      <c r="F38" s="48"/>
      <c r="G38" s="48"/>
      <c r="H38" s="48"/>
      <c r="I38" s="72">
        <f>INDEX(Inputs!$J$64:$J$66,MATCH('Scenario C'!J38,Inputs!$D$64:$D$66,0))</f>
        <v>1</v>
      </c>
      <c r="J38" s="100" t="s">
        <v>38</v>
      </c>
      <c r="K38" s="101" t="str">
        <f>'Base Case'!K38</f>
        <v>Pit section repair cost</v>
      </c>
      <c r="L38" s="102"/>
      <c r="M38" s="102"/>
      <c r="N38" s="103"/>
      <c r="O38" s="76">
        <v>0</v>
      </c>
      <c r="P38" s="76">
        <v>0</v>
      </c>
      <c r="Q38" s="76">
        <f>'Base Case'!Q38*'Scenario C'!$I$11</f>
        <v>0</v>
      </c>
      <c r="R38" s="76">
        <f>'Base Case'!R38*'Scenario C'!$I$10</f>
        <v>55000.000000000007</v>
      </c>
      <c r="S38" s="76">
        <v>0</v>
      </c>
      <c r="T38" s="117">
        <f>'Base Case'!$T38</f>
        <v>1</v>
      </c>
      <c r="U38" s="76">
        <f t="shared" si="0"/>
        <v>55000.000000000007</v>
      </c>
      <c r="V38" s="77">
        <f t="shared" si="1"/>
        <v>55000.000000000007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</row>
    <row r="39" spans="1:57" ht="13.15" x14ac:dyDescent="0.4">
      <c r="A39" s="46"/>
      <c r="B39" s="46"/>
      <c r="C39" s="47"/>
      <c r="D39" s="48"/>
      <c r="E39" s="48"/>
      <c r="F39" s="48"/>
      <c r="G39" s="48"/>
      <c r="H39" s="48"/>
      <c r="I39" s="59">
        <f>INDEX(Inputs!$J$64:$J$66,MATCH('Scenario C'!J39,Inputs!$D$64:$D$66,0))</f>
        <v>1</v>
      </c>
      <c r="J39" s="92" t="s">
        <v>38</v>
      </c>
      <c r="K39" s="93" t="str">
        <f>'Base Case'!K39</f>
        <v>Safety consequence - ladder supports</v>
      </c>
      <c r="L39" s="94"/>
      <c r="M39" s="94"/>
      <c r="N39" s="95"/>
      <c r="O39" s="60">
        <v>0</v>
      </c>
      <c r="P39" s="60">
        <f>'Base Case'!P39</f>
        <v>500000</v>
      </c>
      <c r="Q39" s="60">
        <f>'Base Case'!Q39*'Scenario C'!$I$11</f>
        <v>0</v>
      </c>
      <c r="R39" s="60">
        <f>'Base Case'!R39*'Scenario C'!$I$10</f>
        <v>0</v>
      </c>
      <c r="S39" s="60">
        <v>0</v>
      </c>
      <c r="T39" s="116">
        <f>'Base Case'!$T39</f>
        <v>0.8</v>
      </c>
      <c r="U39" s="60">
        <f t="shared" si="0"/>
        <v>400000</v>
      </c>
      <c r="V39" s="63">
        <f t="shared" si="1"/>
        <v>400000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</row>
    <row r="40" spans="1:57" ht="13.15" x14ac:dyDescent="0.4">
      <c r="A40" s="46"/>
      <c r="B40" s="46"/>
      <c r="C40" s="47"/>
      <c r="D40" s="48"/>
      <c r="E40" s="48"/>
      <c r="F40" s="48"/>
      <c r="G40" s="48"/>
      <c r="H40" s="48"/>
      <c r="I40" s="64">
        <f>INDEX(Inputs!$J$64:$J$66,MATCH('Scenario C'!J40,Inputs!$D$64:$D$66,0))</f>
        <v>1</v>
      </c>
      <c r="J40" s="96" t="s">
        <v>38</v>
      </c>
      <c r="K40" s="97" t="str">
        <f>'Base Case'!K40</f>
        <v>Pit section repair cost</v>
      </c>
      <c r="L40" s="98"/>
      <c r="M40" s="98"/>
      <c r="N40" s="99"/>
      <c r="O40" s="60">
        <v>0</v>
      </c>
      <c r="P40" s="60">
        <v>0</v>
      </c>
      <c r="Q40" s="60">
        <f>'Base Case'!Q40*'Scenario C'!$I$11</f>
        <v>0</v>
      </c>
      <c r="R40" s="60">
        <f>'Base Case'!R40*'Scenario C'!$I$10</f>
        <v>55000.000000000007</v>
      </c>
      <c r="S40" s="60">
        <v>0</v>
      </c>
      <c r="T40" s="69">
        <f>'Base Case'!$T40</f>
        <v>1</v>
      </c>
      <c r="U40" s="70">
        <f t="shared" si="0"/>
        <v>55000.000000000007</v>
      </c>
      <c r="V40" s="71">
        <f t="shared" si="1"/>
        <v>55000.000000000007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</row>
    <row r="41" spans="1:57" ht="13.15" x14ac:dyDescent="0.4">
      <c r="A41" s="46"/>
      <c r="B41" s="46"/>
      <c r="C41" s="47"/>
      <c r="D41" s="48"/>
      <c r="E41" s="48"/>
      <c r="F41" s="48"/>
      <c r="G41" s="48"/>
      <c r="H41" s="48"/>
      <c r="I41" s="64">
        <f>INDEX(Inputs!$J$64:$J$66,MATCH('Scenario C'!J41,Inputs!$D$64:$D$66,0))</f>
        <v>1</v>
      </c>
      <c r="J41" s="96" t="s">
        <v>38</v>
      </c>
      <c r="K41" s="97" t="str">
        <f>'Base Case'!K41</f>
        <v>[Spare]</v>
      </c>
      <c r="L41" s="98"/>
      <c r="M41" s="98"/>
      <c r="N41" s="99"/>
      <c r="O41" s="60">
        <v>0</v>
      </c>
      <c r="P41" s="60">
        <v>0</v>
      </c>
      <c r="Q41" s="60">
        <v>0</v>
      </c>
      <c r="R41" s="60">
        <v>0</v>
      </c>
      <c r="S41" s="60">
        <f>Inputs!$J$105*$I$14</f>
        <v>0</v>
      </c>
      <c r="T41" s="69">
        <f>'Base Case'!$T41</f>
        <v>0</v>
      </c>
      <c r="U41" s="70">
        <f t="shared" si="0"/>
        <v>0</v>
      </c>
      <c r="V41" s="71">
        <f t="shared" si="1"/>
        <v>0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</row>
    <row r="42" spans="1:57" ht="13.15" x14ac:dyDescent="0.4">
      <c r="A42" s="46"/>
      <c r="B42" s="46"/>
      <c r="C42" s="47"/>
      <c r="D42" s="48"/>
      <c r="E42" s="48"/>
      <c r="F42" s="48"/>
      <c r="G42" s="48"/>
      <c r="H42" s="48"/>
      <c r="I42" s="64">
        <f>INDEX(Inputs!$J$64:$J$66,MATCH('Scenario C'!J42,Inputs!$D$64:$D$66,0))</f>
        <v>1</v>
      </c>
      <c r="J42" s="96" t="s">
        <v>38</v>
      </c>
      <c r="K42" s="97" t="str">
        <f>'Base Case'!K42</f>
        <v>[Spare]</v>
      </c>
      <c r="L42" s="98"/>
      <c r="M42" s="98"/>
      <c r="N42" s="99"/>
      <c r="O42" s="60">
        <v>0</v>
      </c>
      <c r="P42" s="60">
        <v>0</v>
      </c>
      <c r="Q42" s="60">
        <f>Inputs!$K$97*$I$11</f>
        <v>0</v>
      </c>
      <c r="R42" s="60">
        <v>0</v>
      </c>
      <c r="S42" s="60">
        <v>0</v>
      </c>
      <c r="T42" s="69">
        <f>'Base Case'!$T42</f>
        <v>0</v>
      </c>
      <c r="U42" s="70">
        <f t="shared" si="0"/>
        <v>0</v>
      </c>
      <c r="V42" s="71">
        <f t="shared" si="1"/>
        <v>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</row>
    <row r="43" spans="1:57" ht="13.15" x14ac:dyDescent="0.4">
      <c r="A43" s="46"/>
      <c r="B43" s="46"/>
      <c r="C43" s="47"/>
      <c r="D43" s="48"/>
      <c r="E43" s="48"/>
      <c r="F43" s="48"/>
      <c r="G43" s="48"/>
      <c r="H43" s="48"/>
      <c r="I43" s="64">
        <f>INDEX(Inputs!$J$64:$J$66,MATCH('Scenario C'!J43,Inputs!$D$64:$D$66,0))</f>
        <v>1</v>
      </c>
      <c r="J43" s="96" t="s">
        <v>38</v>
      </c>
      <c r="K43" s="97" t="str">
        <f>'Base Case'!K43</f>
        <v>[Spare]</v>
      </c>
      <c r="L43" s="98"/>
      <c r="M43" s="98"/>
      <c r="N43" s="99"/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9">
        <f>'Base Case'!$T43</f>
        <v>0</v>
      </c>
      <c r="U43" s="70">
        <f t="shared" si="0"/>
        <v>0</v>
      </c>
      <c r="V43" s="71">
        <f t="shared" si="1"/>
        <v>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</row>
    <row r="44" spans="1:57" ht="13.15" x14ac:dyDescent="0.4">
      <c r="A44" s="46"/>
      <c r="B44" s="46"/>
      <c r="C44" s="47"/>
      <c r="D44" s="48"/>
      <c r="E44" s="48"/>
      <c r="F44" s="48"/>
      <c r="G44" s="48"/>
      <c r="H44" s="48"/>
      <c r="I44" s="64">
        <f>INDEX(Inputs!$J$64:$J$66,MATCH('Scenario C'!J44,Inputs!$D$64:$D$66,0))</f>
        <v>1</v>
      </c>
      <c r="J44" s="105" t="s">
        <v>38</v>
      </c>
      <c r="K44" s="106" t="str">
        <f>'Base Case'!K44</f>
        <v>[Spare]</v>
      </c>
      <c r="L44" s="107"/>
      <c r="M44" s="107"/>
      <c r="N44" s="108"/>
      <c r="O44" s="65">
        <v>0</v>
      </c>
      <c r="P44" s="109">
        <v>0</v>
      </c>
      <c r="Q44" s="109">
        <v>0</v>
      </c>
      <c r="R44" s="109">
        <v>0</v>
      </c>
      <c r="S44" s="110">
        <v>0</v>
      </c>
      <c r="T44" s="69">
        <f>'Base Case'!$T44</f>
        <v>0</v>
      </c>
      <c r="U44" s="70">
        <f t="shared" si="0"/>
        <v>0</v>
      </c>
      <c r="V44" s="71">
        <f t="shared" si="1"/>
        <v>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</row>
    <row r="45" spans="1:57" ht="13.15" x14ac:dyDescent="0.4">
      <c r="A45" s="46"/>
      <c r="B45" s="46"/>
      <c r="C45" s="47"/>
      <c r="D45" s="48"/>
      <c r="E45" s="48"/>
      <c r="F45" s="48"/>
      <c r="G45" s="48"/>
      <c r="H45" s="48"/>
      <c r="I45" s="64">
        <f>INDEX(Inputs!$J$64:$J$66,MATCH('Scenario C'!J45,Inputs!$D$64:$D$66,0))</f>
        <v>1</v>
      </c>
      <c r="J45" s="96" t="s">
        <v>38</v>
      </c>
      <c r="K45" s="97" t="str">
        <f>'Base Case'!K45</f>
        <v>[Spare]</v>
      </c>
      <c r="L45" s="98"/>
      <c r="M45" s="98"/>
      <c r="N45" s="99"/>
      <c r="O45" s="65">
        <v>0</v>
      </c>
      <c r="P45" s="67">
        <v>0</v>
      </c>
      <c r="Q45" s="67">
        <v>0</v>
      </c>
      <c r="R45" s="67">
        <v>0</v>
      </c>
      <c r="S45" s="68">
        <v>0</v>
      </c>
      <c r="T45" s="69">
        <f>'Base Case'!$T45</f>
        <v>0</v>
      </c>
      <c r="U45" s="70">
        <f t="shared" si="0"/>
        <v>0</v>
      </c>
      <c r="V45" s="71">
        <f t="shared" si="1"/>
        <v>0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</row>
    <row r="46" spans="1:57" ht="13.15" x14ac:dyDescent="0.4">
      <c r="A46" s="46"/>
      <c r="B46" s="46"/>
      <c r="C46" s="47"/>
      <c r="D46" s="48"/>
      <c r="E46" s="48"/>
      <c r="F46" s="48"/>
      <c r="G46" s="48"/>
      <c r="H46" s="48"/>
      <c r="I46" s="72">
        <f>INDEX(Inputs!$J$64:$J$66,MATCH('Scenario C'!J46,Inputs!$D$64:$D$66,0))</f>
        <v>1</v>
      </c>
      <c r="J46" s="100" t="s">
        <v>38</v>
      </c>
      <c r="K46" s="101" t="str">
        <f>'Base Case'!K46</f>
        <v>[Spare]</v>
      </c>
      <c r="L46" s="102"/>
      <c r="M46" s="102"/>
      <c r="N46" s="103"/>
      <c r="O46" s="73">
        <v>0</v>
      </c>
      <c r="P46" s="74">
        <v>0</v>
      </c>
      <c r="Q46" s="74">
        <v>0</v>
      </c>
      <c r="R46" s="74">
        <v>0</v>
      </c>
      <c r="S46" s="75">
        <v>0</v>
      </c>
      <c r="T46" s="117">
        <f>'Base Case'!$T46</f>
        <v>0</v>
      </c>
      <c r="U46" s="76">
        <f t="shared" si="0"/>
        <v>0</v>
      </c>
      <c r="V46" s="77">
        <f t="shared" si="1"/>
        <v>0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</row>
    <row r="47" spans="1:57" ht="13.15" x14ac:dyDescent="0.4">
      <c r="A47" s="46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</row>
    <row r="48" spans="1:57" ht="13.15" x14ac:dyDescent="0.4">
      <c r="A48" s="46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7" ht="13.15" x14ac:dyDescent="0.4">
      <c r="A49" s="46"/>
      <c r="B49" s="46"/>
      <c r="C49" s="47"/>
      <c r="D49" s="48"/>
      <c r="E49" s="48"/>
      <c r="F49" s="48"/>
      <c r="G49" s="48"/>
      <c r="H49" s="48"/>
      <c r="I49" s="78">
        <f>INDEX(Inputs!$J$64:$J$66,MATCH('Scenario C'!J49,Inputs!$D$64:$D$66,0))</f>
        <v>1</v>
      </c>
      <c r="J49" s="79" t="s">
        <v>38</v>
      </c>
      <c r="K49" s="48"/>
      <c r="L49" s="48"/>
      <c r="M49" s="48"/>
      <c r="N49" s="48"/>
      <c r="O49" s="66">
        <f>SUMIF($I$17:$I$46,$I49,O$17:O$46)</f>
        <v>0</v>
      </c>
      <c r="P49" s="66">
        <f t="shared" ref="P49:V49" si="2">SUMIF($I$17:$I$46,$I49,P$17:P$46)</f>
        <v>1000000</v>
      </c>
      <c r="Q49" s="66">
        <f t="shared" si="2"/>
        <v>0</v>
      </c>
      <c r="R49" s="66">
        <f t="shared" si="2"/>
        <v>110000.00000000001</v>
      </c>
      <c r="S49" s="66">
        <f t="shared" si="2"/>
        <v>0</v>
      </c>
      <c r="T49" s="53">
        <f>U49/SUM(O49:S49)</f>
        <v>0.68468468468468469</v>
      </c>
      <c r="U49" s="66">
        <f t="shared" si="2"/>
        <v>760000</v>
      </c>
      <c r="V49" s="66">
        <f t="shared" si="2"/>
        <v>760000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</row>
    <row r="50" spans="1:57" ht="13.15" x14ac:dyDescent="0.4">
      <c r="A50" s="46"/>
      <c r="B50" s="46"/>
      <c r="C50" s="47"/>
      <c r="D50" s="48"/>
      <c r="E50" s="48"/>
      <c r="F50" s="48"/>
      <c r="G50" s="48"/>
      <c r="H50" s="48"/>
      <c r="I50" s="78">
        <f>INDEX(Inputs!$J$64:$J$66,MATCH('Scenario C'!J50,Inputs!$D$64:$D$66,0))</f>
        <v>2</v>
      </c>
      <c r="J50" s="79" t="s">
        <v>39</v>
      </c>
      <c r="K50" s="48"/>
      <c r="L50" s="48"/>
      <c r="M50" s="48"/>
      <c r="N50" s="48"/>
      <c r="O50" s="66">
        <f t="shared" ref="O50:V51" si="3">SUMIF($I$17:$I$46,$I50,O$17:O$46)</f>
        <v>550000</v>
      </c>
      <c r="P50" s="66">
        <f t="shared" si="3"/>
        <v>14280000.000000002</v>
      </c>
      <c r="Q50" s="66">
        <f t="shared" si="3"/>
        <v>990000</v>
      </c>
      <c r="R50" s="66">
        <f t="shared" si="3"/>
        <v>550000</v>
      </c>
      <c r="S50" s="66">
        <f t="shared" si="3"/>
        <v>0</v>
      </c>
      <c r="T50" s="53">
        <f t="shared" ref="T50:T51" si="4">U50/SUM(O50:S50)</f>
        <v>0.27525962125839953</v>
      </c>
      <c r="U50" s="66">
        <f t="shared" si="3"/>
        <v>4506000.0000000009</v>
      </c>
      <c r="V50" s="66">
        <f t="shared" si="3"/>
        <v>3956000.0000000005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</row>
    <row r="51" spans="1:57" ht="13.15" x14ac:dyDescent="0.4">
      <c r="A51" s="46"/>
      <c r="B51" s="46"/>
      <c r="C51" s="47"/>
      <c r="D51" s="48"/>
      <c r="E51" s="48"/>
      <c r="F51" s="48"/>
      <c r="G51" s="48"/>
      <c r="H51" s="48"/>
      <c r="I51" s="78">
        <f>INDEX(Inputs!$J$64:$J$66,MATCH('Scenario C'!J51,Inputs!$D$64:$D$66,0))</f>
        <v>3</v>
      </c>
      <c r="J51" s="79" t="s">
        <v>40</v>
      </c>
      <c r="K51" s="80"/>
      <c r="L51" s="80"/>
      <c r="M51" s="80"/>
      <c r="N51" s="80"/>
      <c r="O51" s="66">
        <f t="shared" si="3"/>
        <v>550000</v>
      </c>
      <c r="P51" s="66">
        <f t="shared" si="3"/>
        <v>14280000.000000002</v>
      </c>
      <c r="Q51" s="66">
        <f t="shared" si="3"/>
        <v>990000</v>
      </c>
      <c r="R51" s="66">
        <f t="shared" si="3"/>
        <v>550000</v>
      </c>
      <c r="S51" s="66">
        <f t="shared" si="3"/>
        <v>0</v>
      </c>
      <c r="T51" s="53">
        <f t="shared" si="4"/>
        <v>0.27525962125839953</v>
      </c>
      <c r="U51" s="66">
        <f t="shared" si="3"/>
        <v>4506000.0000000009</v>
      </c>
      <c r="V51" s="66">
        <f t="shared" si="3"/>
        <v>3956000.0000000005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</row>
    <row r="52" spans="1:57" ht="13.15" x14ac:dyDescent="0.4">
      <c r="A52" s="46"/>
      <c r="B52" s="46"/>
      <c r="C52" s="47"/>
      <c r="D52" s="48"/>
      <c r="E52" s="48"/>
      <c r="F52" s="48"/>
      <c r="G52" s="48"/>
      <c r="H52" s="48"/>
      <c r="I52" s="80" t="s">
        <v>161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>
        <f>SUM(U49:U51)</f>
        <v>9772000.0000000019</v>
      </c>
      <c r="V52" s="81">
        <f>SUM(V49:V51)</f>
        <v>8672000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</row>
    <row r="53" spans="1:57" x14ac:dyDescent="0.2">
      <c r="A53" s="46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</row>
    <row r="54" spans="1:57" x14ac:dyDescent="0.2">
      <c r="A54" s="49" t="str">
        <f>C8&amp;" "&amp;I8&amp;": PoE, Load and VCR assumptions"</f>
        <v>Scenario C: PoE, Load and VCR assumptions</v>
      </c>
      <c r="B54" s="49"/>
      <c r="C54" s="50"/>
      <c r="D54" s="51"/>
      <c r="E54" s="51"/>
      <c r="F54" s="51"/>
      <c r="G54" s="51"/>
      <c r="H54" s="51"/>
      <c r="I54" s="51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</row>
    <row r="55" spans="1:57" x14ac:dyDescent="0.2">
      <c r="A55" s="46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</row>
    <row r="56" spans="1:57" x14ac:dyDescent="0.2">
      <c r="A56" s="46"/>
      <c r="B56" s="46" t="s">
        <v>50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</row>
    <row r="57" spans="1:57" x14ac:dyDescent="0.2">
      <c r="A57" s="46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</row>
    <row r="58" spans="1:57" x14ac:dyDescent="0.2">
      <c r="A58" s="46"/>
      <c r="B58" s="46"/>
      <c r="C58" s="47" t="s">
        <v>51</v>
      </c>
      <c r="D58" s="48"/>
      <c r="E58" s="48"/>
      <c r="F58" s="48"/>
      <c r="G58" s="48"/>
      <c r="H58" s="48"/>
      <c r="I58" s="48"/>
      <c r="J58" s="82">
        <f>Inputs!J79</f>
        <v>1</v>
      </c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</row>
    <row r="59" spans="1:57" x14ac:dyDescent="0.2">
      <c r="A59" s="46"/>
      <c r="B59" s="46"/>
      <c r="C59" s="47" t="s">
        <v>52</v>
      </c>
      <c r="D59" s="48"/>
      <c r="E59" s="48"/>
      <c r="F59" s="48"/>
      <c r="G59" s="48"/>
      <c r="H59" s="48"/>
      <c r="I59" s="48"/>
      <c r="J59" s="66">
        <f>Inputs!J80</f>
        <v>0</v>
      </c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</row>
    <row r="60" spans="1:57" x14ac:dyDescent="0.2">
      <c r="A60" s="46"/>
      <c r="B60" s="46"/>
      <c r="C60" s="47"/>
      <c r="D60" s="48" t="s">
        <v>53</v>
      </c>
      <c r="E60" s="48"/>
      <c r="F60" s="48"/>
      <c r="G60" s="48"/>
      <c r="H60" s="48"/>
      <c r="I60" s="48"/>
      <c r="J60" s="66">
        <f>Inputs!J81</f>
        <v>0</v>
      </c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</row>
    <row r="61" spans="1:57" x14ac:dyDescent="0.2">
      <c r="A61" s="46"/>
      <c r="B61" s="46"/>
      <c r="C61" s="47"/>
      <c r="D61" s="48" t="s">
        <v>54</v>
      </c>
      <c r="E61" s="48"/>
      <c r="F61" s="48"/>
      <c r="G61" s="48"/>
      <c r="H61" s="48"/>
      <c r="I61" s="48"/>
      <c r="J61" s="66">
        <f>Inputs!J82</f>
        <v>0</v>
      </c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</row>
    <row r="62" spans="1:57" x14ac:dyDescent="0.2">
      <c r="A62" s="46"/>
      <c r="B62" s="46"/>
      <c r="C62" s="47"/>
      <c r="D62" s="48" t="s">
        <v>55</v>
      </c>
      <c r="E62" s="48"/>
      <c r="F62" s="48"/>
      <c r="G62" s="48"/>
      <c r="H62" s="48"/>
      <c r="I62" s="48"/>
      <c r="J62" s="66">
        <f>Inputs!J83</f>
        <v>0</v>
      </c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</row>
    <row r="63" spans="1:57" x14ac:dyDescent="0.2">
      <c r="A63" s="46"/>
      <c r="B63" s="46"/>
      <c r="C63" s="47"/>
      <c r="D63" s="48" t="s">
        <v>56</v>
      </c>
      <c r="E63" s="48"/>
      <c r="F63" s="48"/>
      <c r="G63" s="48"/>
      <c r="H63" s="48"/>
      <c r="I63" s="48"/>
      <c r="J63" s="66">
        <f>Inputs!J84</f>
        <v>0</v>
      </c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</row>
    <row r="64" spans="1:57" x14ac:dyDescent="0.2">
      <c r="A64" s="46"/>
      <c r="B64" s="46"/>
      <c r="C64" s="47"/>
      <c r="D64" s="80" t="s">
        <v>57</v>
      </c>
      <c r="E64" s="80"/>
      <c r="F64" s="80"/>
      <c r="G64" s="80"/>
      <c r="H64" s="80"/>
      <c r="I64" s="80"/>
      <c r="J64" s="66">
        <f>Inputs!J85</f>
        <v>0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</row>
    <row r="65" spans="1:57" x14ac:dyDescent="0.2">
      <c r="A65" s="46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</row>
    <row r="66" spans="1:57" x14ac:dyDescent="0.2">
      <c r="A66" s="46"/>
      <c r="B66" s="46" t="str">
        <f>Inputs!B182</f>
        <v>Probability of exceedance (PoE) forecast, Mega Volt Ampere (MVA)</v>
      </c>
      <c r="C66" s="47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</row>
    <row r="67" spans="1:57" x14ac:dyDescent="0.2">
      <c r="A67" s="46"/>
      <c r="B67" s="46"/>
      <c r="C67" s="47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x14ac:dyDescent="0.2">
      <c r="A68" s="46"/>
      <c r="B68" s="46"/>
      <c r="C68" s="47" t="str">
        <f>Inputs!C184</f>
        <v>PoE forecast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</row>
    <row r="69" spans="1:57" x14ac:dyDescent="0.2">
      <c r="A69" s="46"/>
      <c r="B69" s="46"/>
      <c r="C69" s="47"/>
      <c r="D69" s="48" t="str">
        <f>Inputs!D185</f>
        <v>10% PoE forecast, MVA</v>
      </c>
      <c r="E69" s="48"/>
      <c r="F69" s="48"/>
      <c r="G69" s="48"/>
      <c r="H69" s="48"/>
      <c r="I69" s="48"/>
      <c r="J69" s="83">
        <f>Inputs!J185</f>
        <v>0.1</v>
      </c>
      <c r="K69" s="48"/>
      <c r="L69" s="48"/>
      <c r="M69" s="48"/>
      <c r="N69" s="48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</row>
    <row r="70" spans="1:57" x14ac:dyDescent="0.2">
      <c r="A70" s="46"/>
      <c r="B70" s="46"/>
      <c r="C70" s="47"/>
      <c r="D70" s="80" t="str">
        <f>Inputs!D186</f>
        <v>50% PoE forecast, MVA</v>
      </c>
      <c r="E70" s="80"/>
      <c r="F70" s="80"/>
      <c r="G70" s="80"/>
      <c r="H70" s="80"/>
      <c r="I70" s="80"/>
      <c r="J70" s="83">
        <f>Inputs!J186</f>
        <v>0.5</v>
      </c>
      <c r="K70" s="80"/>
      <c r="L70" s="80"/>
      <c r="M70" s="80"/>
      <c r="N70" s="8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</row>
    <row r="71" spans="1:57" x14ac:dyDescent="0.2">
      <c r="A71" s="46"/>
      <c r="B71" s="46"/>
      <c r="C71" s="47"/>
      <c r="D71" s="48" t="str">
        <f>Inputs!D187</f>
        <v>Selected</v>
      </c>
      <c r="E71" s="48"/>
      <c r="F71" s="48"/>
      <c r="G71" s="48"/>
      <c r="H71" s="48"/>
      <c r="I71" s="48"/>
      <c r="J71" s="84">
        <f>Inputs!J187</f>
        <v>0.7</v>
      </c>
      <c r="K71" s="48"/>
      <c r="L71" s="48"/>
      <c r="M71" s="48"/>
      <c r="N71" s="48"/>
      <c r="O71" s="66">
        <f>Inputs!O187*$I$12</f>
        <v>0</v>
      </c>
      <c r="P71" s="66">
        <f>Inputs!P187*$I$12</f>
        <v>0</v>
      </c>
      <c r="Q71" s="66">
        <f>Inputs!Q187*$I$12</f>
        <v>0</v>
      </c>
      <c r="R71" s="66">
        <f>Inputs!R187*$I$12</f>
        <v>0</v>
      </c>
      <c r="S71" s="66">
        <f>Inputs!S187*$I$12</f>
        <v>0</v>
      </c>
      <c r="T71" s="66">
        <f>Inputs!T187*$I$12</f>
        <v>0</v>
      </c>
      <c r="U71" s="66">
        <f>Inputs!U187*$I$12</f>
        <v>0</v>
      </c>
      <c r="V71" s="66">
        <f>Inputs!V187*$I$12</f>
        <v>0</v>
      </c>
      <c r="W71" s="66">
        <f>Inputs!W187*$I$12</f>
        <v>0</v>
      </c>
      <c r="X71" s="66">
        <f>Inputs!X187*$I$12</f>
        <v>0</v>
      </c>
      <c r="Y71" s="66">
        <f>Inputs!Y187*$I$12</f>
        <v>0</v>
      </c>
      <c r="Z71" s="66">
        <f>Inputs!Z187*$I$12</f>
        <v>0</v>
      </c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</row>
    <row r="72" spans="1:57" x14ac:dyDescent="0.2">
      <c r="A72" s="46"/>
      <c r="B72" s="46"/>
      <c r="C72" s="47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</row>
    <row r="73" spans="1:57" x14ac:dyDescent="0.2">
      <c r="A73" s="46"/>
      <c r="B73" s="46" t="str">
        <f>Inputs!B189</f>
        <v>Load at risk</v>
      </c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</row>
    <row r="74" spans="1:57" x14ac:dyDescent="0.2">
      <c r="A74" s="46"/>
      <c r="B74" s="46"/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</row>
    <row r="75" spans="1:57" x14ac:dyDescent="0.2">
      <c r="A75" s="46"/>
      <c r="B75" s="46"/>
      <c r="C75" s="47" t="str">
        <f>Inputs!C191</f>
        <v>Selected profile, MVA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</row>
    <row r="76" spans="1:57" x14ac:dyDescent="0.2">
      <c r="A76" s="46"/>
      <c r="B76" s="46"/>
      <c r="C76" s="47"/>
      <c r="D76" s="48" t="s">
        <v>141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</row>
    <row r="77" spans="1:57" x14ac:dyDescent="0.2">
      <c r="A77" s="46"/>
      <c r="B77" s="46"/>
      <c r="C77" s="47"/>
      <c r="D77" s="48" t="s">
        <v>142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</row>
    <row r="78" spans="1:57" x14ac:dyDescent="0.2">
      <c r="A78" s="46"/>
      <c r="B78" s="46"/>
      <c r="C78" s="47"/>
      <c r="D78" s="48" t="s">
        <v>143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</row>
    <row r="79" spans="1:57" x14ac:dyDescent="0.2">
      <c r="A79" s="46"/>
      <c r="B79" s="46"/>
      <c r="C79" s="47"/>
      <c r="D79" s="48" t="s">
        <v>144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</row>
    <row r="80" spans="1:57" x14ac:dyDescent="0.2">
      <c r="A80" s="46"/>
      <c r="B80" s="46"/>
      <c r="C80" s="47"/>
      <c r="D80" s="80" t="s">
        <v>145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</row>
    <row r="81" spans="1:57" x14ac:dyDescent="0.2">
      <c r="A81" s="46"/>
      <c r="B81" s="46"/>
      <c r="C81" s="47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</row>
    <row r="82" spans="1:57" x14ac:dyDescent="0.2">
      <c r="A82" s="46"/>
      <c r="B82" s="46" t="s">
        <v>162</v>
      </c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</row>
    <row r="83" spans="1:57" x14ac:dyDescent="0.2">
      <c r="A83" s="46"/>
      <c r="B83" s="46"/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</row>
    <row r="84" spans="1:57" x14ac:dyDescent="0.2">
      <c r="A84" s="46"/>
      <c r="B84" s="46"/>
      <c r="C84" s="47" t="s">
        <v>163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</row>
    <row r="85" spans="1:57" x14ac:dyDescent="0.2">
      <c r="A85" s="46"/>
      <c r="B85" s="46"/>
      <c r="C85" s="47"/>
      <c r="D85" s="48"/>
      <c r="E85" s="48" t="s">
        <v>164</v>
      </c>
      <c r="F85" s="48"/>
      <c r="G85" s="48"/>
      <c r="H85" s="48"/>
      <c r="I85" s="48"/>
      <c r="J85" s="48"/>
      <c r="K85" s="48"/>
      <c r="L85" s="48"/>
      <c r="M85" s="48"/>
      <c r="N85" s="48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</row>
    <row r="86" spans="1:57" x14ac:dyDescent="0.2">
      <c r="A86" s="46"/>
      <c r="B86" s="46"/>
      <c r="C86" s="47"/>
      <c r="D86" s="48"/>
      <c r="E86" s="80" t="s">
        <v>165</v>
      </c>
      <c r="F86" s="80"/>
      <c r="G86" s="80"/>
      <c r="H86" s="80"/>
      <c r="I86" s="80"/>
      <c r="J86" s="80"/>
      <c r="K86" s="80"/>
      <c r="L86" s="80"/>
      <c r="M86" s="80"/>
      <c r="N86" s="8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</row>
    <row r="87" spans="1:57" x14ac:dyDescent="0.2">
      <c r="A87" s="46"/>
      <c r="B87" s="46"/>
      <c r="C87" s="47"/>
      <c r="D87" s="85" t="str">
        <f>D76</f>
        <v>N</v>
      </c>
      <c r="E87" s="85" t="s">
        <v>163</v>
      </c>
      <c r="F87" s="85"/>
      <c r="G87" s="85"/>
      <c r="H87" s="85"/>
      <c r="I87" s="85"/>
      <c r="J87" s="85"/>
      <c r="K87" s="85"/>
      <c r="L87" s="85"/>
      <c r="M87" s="85"/>
      <c r="N87" s="85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</row>
    <row r="88" spans="1:57" x14ac:dyDescent="0.2">
      <c r="A88" s="46"/>
      <c r="B88" s="46"/>
      <c r="C88" s="47"/>
      <c r="D88" s="48"/>
      <c r="E88" s="48" t="str">
        <f t="shared" ref="E88:E99" si="5">E85</f>
        <v>Unserved energy day 1</v>
      </c>
      <c r="F88" s="48"/>
      <c r="G88" s="48"/>
      <c r="H88" s="48"/>
      <c r="I88" s="48"/>
      <c r="J88" s="48"/>
      <c r="K88" s="48"/>
      <c r="L88" s="48"/>
      <c r="M88" s="48"/>
      <c r="N88" s="48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</row>
    <row r="89" spans="1:57" x14ac:dyDescent="0.2">
      <c r="A89" s="46"/>
      <c r="B89" s="46"/>
      <c r="C89" s="47"/>
      <c r="D89" s="48"/>
      <c r="E89" s="80" t="str">
        <f t="shared" si="5"/>
        <v>Unserved energy day 2</v>
      </c>
      <c r="F89" s="80"/>
      <c r="G89" s="80"/>
      <c r="H89" s="80"/>
      <c r="I89" s="80"/>
      <c r="J89" s="80"/>
      <c r="K89" s="80"/>
      <c r="L89" s="80"/>
      <c r="M89" s="80"/>
      <c r="N89" s="8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</row>
    <row r="90" spans="1:57" x14ac:dyDescent="0.2">
      <c r="A90" s="46"/>
      <c r="B90" s="46"/>
      <c r="C90" s="47"/>
      <c r="D90" s="85" t="str">
        <f>D77</f>
        <v>N-1</v>
      </c>
      <c r="E90" s="85" t="str">
        <f t="shared" si="5"/>
        <v>Average load at risk (pu)</v>
      </c>
      <c r="F90" s="85"/>
      <c r="G90" s="85"/>
      <c r="H90" s="85"/>
      <c r="I90" s="85"/>
      <c r="J90" s="85"/>
      <c r="K90" s="85"/>
      <c r="L90" s="85"/>
      <c r="M90" s="85"/>
      <c r="N90" s="85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</row>
    <row r="91" spans="1:57" x14ac:dyDescent="0.2">
      <c r="A91" s="46"/>
      <c r="B91" s="46"/>
      <c r="C91" s="47"/>
      <c r="D91" s="48"/>
      <c r="E91" s="48" t="str">
        <f t="shared" si="5"/>
        <v>Unserved energy day 1</v>
      </c>
      <c r="F91" s="48"/>
      <c r="G91" s="48"/>
      <c r="H91" s="48"/>
      <c r="I91" s="48"/>
      <c r="J91" s="48"/>
      <c r="K91" s="48"/>
      <c r="L91" s="48"/>
      <c r="M91" s="48"/>
      <c r="N91" s="48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</row>
    <row r="92" spans="1:57" x14ac:dyDescent="0.2">
      <c r="A92" s="46"/>
      <c r="B92" s="46"/>
      <c r="C92" s="47"/>
      <c r="D92" s="48"/>
      <c r="E92" s="80" t="str">
        <f t="shared" si="5"/>
        <v>Unserved energy day 2</v>
      </c>
      <c r="F92" s="80"/>
      <c r="G92" s="80"/>
      <c r="H92" s="80"/>
      <c r="I92" s="80"/>
      <c r="J92" s="80"/>
      <c r="K92" s="80"/>
      <c r="L92" s="80"/>
      <c r="M92" s="80"/>
      <c r="N92" s="8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</row>
    <row r="93" spans="1:57" x14ac:dyDescent="0.2">
      <c r="A93" s="46"/>
      <c r="B93" s="46"/>
      <c r="C93" s="47"/>
      <c r="D93" s="85" t="str">
        <f>D78</f>
        <v>N-2</v>
      </c>
      <c r="E93" s="85" t="str">
        <f t="shared" si="5"/>
        <v>Average load at risk (pu)</v>
      </c>
      <c r="F93" s="85"/>
      <c r="G93" s="85"/>
      <c r="H93" s="85"/>
      <c r="I93" s="85"/>
      <c r="J93" s="85"/>
      <c r="K93" s="85"/>
      <c r="L93" s="85"/>
      <c r="M93" s="85"/>
      <c r="N93" s="85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</row>
    <row r="94" spans="1:57" x14ac:dyDescent="0.2">
      <c r="A94" s="46"/>
      <c r="B94" s="46"/>
      <c r="C94" s="47"/>
      <c r="D94" s="48"/>
      <c r="E94" s="48" t="str">
        <f t="shared" si="5"/>
        <v>Unserved energy day 1</v>
      </c>
      <c r="F94" s="48"/>
      <c r="G94" s="48"/>
      <c r="H94" s="48"/>
      <c r="I94" s="48"/>
      <c r="J94" s="48"/>
      <c r="K94" s="48"/>
      <c r="L94" s="48"/>
      <c r="M94" s="48"/>
      <c r="N94" s="48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</row>
    <row r="95" spans="1:57" x14ac:dyDescent="0.2">
      <c r="A95" s="46"/>
      <c r="B95" s="46"/>
      <c r="C95" s="47"/>
      <c r="D95" s="48"/>
      <c r="E95" s="80" t="str">
        <f t="shared" si="5"/>
        <v>Unserved energy day 2</v>
      </c>
      <c r="F95" s="80"/>
      <c r="G95" s="80"/>
      <c r="H95" s="80"/>
      <c r="I95" s="80"/>
      <c r="J95" s="80"/>
      <c r="K95" s="80"/>
      <c r="L95" s="80"/>
      <c r="M95" s="80"/>
      <c r="N95" s="8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</row>
    <row r="96" spans="1:57" x14ac:dyDescent="0.2">
      <c r="A96" s="46"/>
      <c r="B96" s="46"/>
      <c r="C96" s="47"/>
      <c r="D96" s="85" t="str">
        <f>D79</f>
        <v>N-3</v>
      </c>
      <c r="E96" s="85" t="str">
        <f t="shared" si="5"/>
        <v>Average load at risk (pu)</v>
      </c>
      <c r="F96" s="85"/>
      <c r="G96" s="85"/>
      <c r="H96" s="85"/>
      <c r="I96" s="85"/>
      <c r="J96" s="85"/>
      <c r="K96" s="85"/>
      <c r="L96" s="85"/>
      <c r="M96" s="85"/>
      <c r="N96" s="85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</row>
    <row r="97" spans="1:57" x14ac:dyDescent="0.2">
      <c r="A97" s="46"/>
      <c r="B97" s="46"/>
      <c r="C97" s="47"/>
      <c r="D97" s="48"/>
      <c r="E97" s="48" t="str">
        <f t="shared" si="5"/>
        <v>Unserved energy day 1</v>
      </c>
      <c r="F97" s="48"/>
      <c r="G97" s="48"/>
      <c r="H97" s="48"/>
      <c r="I97" s="48"/>
      <c r="J97" s="48"/>
      <c r="K97" s="48"/>
      <c r="L97" s="48"/>
      <c r="M97" s="48"/>
      <c r="N97" s="48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</row>
    <row r="98" spans="1:57" x14ac:dyDescent="0.2">
      <c r="A98" s="46"/>
      <c r="B98" s="46"/>
      <c r="C98" s="47"/>
      <c r="D98" s="48"/>
      <c r="E98" s="80" t="str">
        <f t="shared" si="5"/>
        <v>Unserved energy day 2</v>
      </c>
      <c r="F98" s="80"/>
      <c r="G98" s="80"/>
      <c r="H98" s="80"/>
      <c r="I98" s="80"/>
      <c r="J98" s="80"/>
      <c r="K98" s="80"/>
      <c r="L98" s="80"/>
      <c r="M98" s="80"/>
      <c r="N98" s="8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</row>
    <row r="99" spans="1:57" x14ac:dyDescent="0.2">
      <c r="A99" s="46"/>
      <c r="B99" s="46"/>
      <c r="C99" s="47"/>
      <c r="D99" s="86" t="str">
        <f>D80</f>
        <v>N-4</v>
      </c>
      <c r="E99" s="86" t="str">
        <f t="shared" si="5"/>
        <v>Average load at risk (pu)</v>
      </c>
      <c r="F99" s="86"/>
      <c r="G99" s="86"/>
      <c r="H99" s="86"/>
      <c r="I99" s="86"/>
      <c r="J99" s="86"/>
      <c r="K99" s="86"/>
      <c r="L99" s="86"/>
      <c r="M99" s="86"/>
      <c r="N99" s="86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</row>
    <row r="100" spans="1:57" x14ac:dyDescent="0.2">
      <c r="A100" s="46"/>
      <c r="B100" s="46"/>
      <c r="C100" s="4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</row>
    <row r="101" spans="1:57" x14ac:dyDescent="0.2">
      <c r="A101" s="46"/>
      <c r="B101" s="46"/>
      <c r="C101" s="47" t="s">
        <v>166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</row>
    <row r="102" spans="1:57" x14ac:dyDescent="0.2">
      <c r="A102" s="46"/>
      <c r="B102" s="46"/>
      <c r="C102" s="47"/>
      <c r="D102" s="48" t="str">
        <f>D87</f>
        <v>N</v>
      </c>
      <c r="E102" s="48"/>
      <c r="F102" s="48"/>
      <c r="G102" s="48"/>
      <c r="H102" s="48"/>
      <c r="I102" s="48"/>
      <c r="J102" s="48"/>
      <c r="K102" s="48"/>
      <c r="L102" s="48"/>
      <c r="M102" s="88"/>
      <c r="N102" s="48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</row>
    <row r="103" spans="1:57" x14ac:dyDescent="0.2">
      <c r="A103" s="46"/>
      <c r="B103" s="46"/>
      <c r="C103" s="47"/>
      <c r="D103" s="48" t="str">
        <f>D90</f>
        <v>N-1</v>
      </c>
      <c r="E103" s="48"/>
      <c r="F103" s="48"/>
      <c r="G103" s="48"/>
      <c r="H103" s="48"/>
      <c r="I103" s="48"/>
      <c r="J103" s="79" t="str">
        <f>Inputs!D64</f>
        <v>Significant</v>
      </c>
      <c r="K103" s="48"/>
      <c r="L103" s="48"/>
      <c r="M103" s="88"/>
      <c r="N103" s="48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</row>
    <row r="104" spans="1:57" x14ac:dyDescent="0.2">
      <c r="A104" s="46"/>
      <c r="B104" s="46"/>
      <c r="C104" s="47"/>
      <c r="D104" s="48" t="str">
        <f>D90</f>
        <v>N-1</v>
      </c>
      <c r="E104" s="48"/>
      <c r="F104" s="48"/>
      <c r="G104" s="48"/>
      <c r="H104" s="48"/>
      <c r="I104" s="48"/>
      <c r="J104" s="79" t="str">
        <f>Inputs!D65</f>
        <v>Major</v>
      </c>
      <c r="K104" s="48"/>
      <c r="L104" s="48"/>
      <c r="M104" s="88"/>
      <c r="N104" s="48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</row>
    <row r="105" spans="1:57" x14ac:dyDescent="0.2">
      <c r="A105" s="46"/>
      <c r="B105" s="46"/>
      <c r="C105" s="47"/>
      <c r="D105" s="48" t="str">
        <f>D93</f>
        <v>N-2</v>
      </c>
      <c r="E105" s="48"/>
      <c r="F105" s="48"/>
      <c r="G105" s="48"/>
      <c r="H105" s="48"/>
      <c r="I105" s="48"/>
      <c r="J105" s="79" t="str">
        <f>Inputs!$D$66</f>
        <v>Catastrophic</v>
      </c>
      <c r="K105" s="48"/>
      <c r="L105" s="48"/>
      <c r="M105" s="88"/>
      <c r="N105" s="48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</row>
    <row r="106" spans="1:57" x14ac:dyDescent="0.2">
      <c r="A106" s="46"/>
      <c r="B106" s="46"/>
      <c r="C106" s="47"/>
      <c r="D106" s="48" t="str">
        <f>D96</f>
        <v>N-3</v>
      </c>
      <c r="E106" s="48"/>
      <c r="F106" s="48"/>
      <c r="G106" s="48"/>
      <c r="H106" s="48"/>
      <c r="I106" s="48"/>
      <c r="J106" s="79" t="str">
        <f>Inputs!$D$66</f>
        <v>Catastrophic</v>
      </c>
      <c r="K106" s="48"/>
      <c r="L106" s="48"/>
      <c r="M106" s="88"/>
      <c r="N106" s="48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</row>
    <row r="107" spans="1:57" x14ac:dyDescent="0.2">
      <c r="A107" s="46"/>
      <c r="B107" s="46"/>
      <c r="C107" s="47"/>
      <c r="D107" s="80" t="str">
        <f>D99</f>
        <v>N-4</v>
      </c>
      <c r="E107" s="80"/>
      <c r="F107" s="80"/>
      <c r="G107" s="80"/>
      <c r="H107" s="80"/>
      <c r="I107" s="80"/>
      <c r="J107" s="79" t="str">
        <f>Inputs!$D$66</f>
        <v>Catastrophic</v>
      </c>
      <c r="K107" s="80"/>
      <c r="L107" s="80"/>
      <c r="M107" s="89"/>
      <c r="N107" s="8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</row>
    <row r="108" spans="1:57" x14ac:dyDescent="0.2">
      <c r="A108" s="46"/>
      <c r="B108" s="46"/>
      <c r="C108" s="47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</row>
    <row r="109" spans="1:57" x14ac:dyDescent="0.2">
      <c r="A109" s="49" t="s">
        <v>167</v>
      </c>
      <c r="B109" s="49"/>
      <c r="C109" s="50"/>
      <c r="D109" s="51"/>
      <c r="E109" s="51"/>
      <c r="F109" s="51"/>
      <c r="G109" s="51"/>
      <c r="H109" s="51"/>
      <c r="I109" s="51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</row>
    <row r="110" spans="1:57" x14ac:dyDescent="0.2">
      <c r="A110" s="46"/>
      <c r="B110" s="46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  <row r="111" spans="1:57" x14ac:dyDescent="0.2">
      <c r="A111" s="46"/>
      <c r="B111" s="46" t="s">
        <v>168</v>
      </c>
      <c r="C111" s="47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</row>
    <row r="112" spans="1:57" x14ac:dyDescent="0.2">
      <c r="A112" s="46"/>
      <c r="B112" s="46"/>
      <c r="C112" s="47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</row>
    <row r="113" spans="1:57" x14ac:dyDescent="0.2">
      <c r="A113" s="46"/>
      <c r="B113" s="46"/>
      <c r="C113" s="47" t="str">
        <f>Inputs!C63</f>
        <v>Failure mode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</row>
    <row r="114" spans="1:57" x14ac:dyDescent="0.2">
      <c r="A114" s="46"/>
      <c r="B114" s="46"/>
      <c r="C114" s="47"/>
      <c r="D114" s="48" t="str">
        <f>Inputs!D64</f>
        <v>Significant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53">
        <f>Inputs!O64*$I$9</f>
        <v>1.21E-2</v>
      </c>
      <c r="P114" s="53">
        <f>Inputs!P64*$I$9</f>
        <v>1.3310000000000001E-2</v>
      </c>
      <c r="Q114" s="53">
        <f>Inputs!Q64*$I$9</f>
        <v>1.4630000000000001E-2</v>
      </c>
      <c r="R114" s="53">
        <f>Inputs!R64*$I$9</f>
        <v>1.6060000000000001E-2</v>
      </c>
      <c r="S114" s="53">
        <f>Inputs!S64*$I$9</f>
        <v>1.771E-2</v>
      </c>
      <c r="T114" s="53">
        <f>Inputs!T64*$I$9</f>
        <v>1.9470000000000001E-2</v>
      </c>
      <c r="U114" s="53">
        <f>Inputs!U64*$I$9</f>
        <v>2.145E-2</v>
      </c>
      <c r="V114" s="53">
        <f>Inputs!V64*$I$9</f>
        <v>2.3540000000000002E-2</v>
      </c>
      <c r="W114" s="53">
        <f>Inputs!W64*$I$9</f>
        <v>2.596E-2</v>
      </c>
      <c r="X114" s="53">
        <f>Inputs!X64*$I$9</f>
        <v>2.8490000000000001E-2</v>
      </c>
      <c r="Y114" s="53">
        <f>Inputs!Y64*$I$9</f>
        <v>3.1350000000000003E-2</v>
      </c>
      <c r="Z114" s="53">
        <f>Inputs!Z64*$I$9</f>
        <v>3.4540000000000001E-2</v>
      </c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</row>
    <row r="115" spans="1:57" x14ac:dyDescent="0.2">
      <c r="A115" s="46"/>
      <c r="B115" s="46"/>
      <c r="C115" s="47"/>
      <c r="D115" s="48" t="str">
        <f>Inputs!D65</f>
        <v>Major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53">
        <f>Inputs!O65*$I$9</f>
        <v>1.166E-2</v>
      </c>
      <c r="P115" s="53">
        <f>Inputs!P65*$I$9</f>
        <v>1.2760000000000001E-2</v>
      </c>
      <c r="Q115" s="53">
        <f>Inputs!Q65*$I$9</f>
        <v>1.4080000000000002E-2</v>
      </c>
      <c r="R115" s="53">
        <f>Inputs!R65*$I$9</f>
        <v>1.5510000000000001E-2</v>
      </c>
      <c r="S115" s="53">
        <f>Inputs!S65*$I$9</f>
        <v>1.7050000000000003E-2</v>
      </c>
      <c r="T115" s="53">
        <f>Inputs!T65*$I$9</f>
        <v>1.8700000000000001E-2</v>
      </c>
      <c r="U115" s="53">
        <f>Inputs!U65*$I$9</f>
        <v>2.0570000000000001E-2</v>
      </c>
      <c r="V115" s="53">
        <f>Inputs!V65*$I$9</f>
        <v>2.2660000000000003E-2</v>
      </c>
      <c r="W115" s="53">
        <f>Inputs!W65*$I$9</f>
        <v>2.486E-2</v>
      </c>
      <c r="X115" s="53">
        <f>Inputs!X65*$I$9</f>
        <v>2.7390000000000001E-2</v>
      </c>
      <c r="Y115" s="53">
        <f>Inputs!Y65*$I$9</f>
        <v>3.0140000000000004E-2</v>
      </c>
      <c r="Z115" s="53">
        <f>Inputs!Z65*$I$9</f>
        <v>3.3110000000000001E-2</v>
      </c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</row>
    <row r="116" spans="1:57" x14ac:dyDescent="0.2">
      <c r="A116" s="46"/>
      <c r="B116" s="46"/>
      <c r="C116" s="47"/>
      <c r="D116" s="80" t="str">
        <f>Inputs!D66</f>
        <v>Catastrophic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53">
        <f>Inputs!O66*$I$9</f>
        <v>0.11077000000000001</v>
      </c>
      <c r="P116" s="53">
        <f>Inputs!P66*$I$9</f>
        <v>0.12177000000000002</v>
      </c>
      <c r="Q116" s="53">
        <f>Inputs!Q66*$I$9</f>
        <v>0.13398000000000002</v>
      </c>
      <c r="R116" s="53">
        <f>Inputs!R66*$I$9</f>
        <v>0.14740000000000003</v>
      </c>
      <c r="S116" s="53">
        <f>Inputs!S66*$I$9</f>
        <v>0.16214000000000001</v>
      </c>
      <c r="T116" s="53">
        <f>Inputs!T66*$I$9</f>
        <v>0.17831</v>
      </c>
      <c r="U116" s="53">
        <f>Inputs!U66*$I$9</f>
        <v>0.19613</v>
      </c>
      <c r="V116" s="53">
        <f>Inputs!V66*$I$9</f>
        <v>0.21571000000000001</v>
      </c>
      <c r="W116" s="53">
        <f>Inputs!W66*$I$9</f>
        <v>0.23738000000000001</v>
      </c>
      <c r="X116" s="53">
        <f>Inputs!X66*$I$9</f>
        <v>0.26103000000000004</v>
      </c>
      <c r="Y116" s="53">
        <f>Inputs!Y66*$I$9</f>
        <v>0.28721000000000002</v>
      </c>
      <c r="Z116" s="53">
        <f>Inputs!Z66*$I$9</f>
        <v>0.31592000000000003</v>
      </c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</row>
    <row r="117" spans="1:57" x14ac:dyDescent="0.2">
      <c r="A117" s="46"/>
      <c r="B117" s="46"/>
      <c r="C117" s="47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</row>
    <row r="118" spans="1:57" x14ac:dyDescent="0.2">
      <c r="A118" s="46"/>
      <c r="B118" s="46"/>
      <c r="C118" s="47" t="s">
        <v>169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</row>
    <row r="119" spans="1:57" x14ac:dyDescent="0.2">
      <c r="A119" s="46"/>
      <c r="B119" s="46"/>
      <c r="C119" s="47"/>
      <c r="D119" s="48" t="str">
        <f>$O$16</f>
        <v>Network Performance</v>
      </c>
      <c r="E119" s="48"/>
      <c r="F119" s="48"/>
      <c r="G119" s="48"/>
      <c r="H119" s="48"/>
      <c r="I119" s="48"/>
      <c r="J119" s="79" t="str">
        <f>J103</f>
        <v>Significant</v>
      </c>
      <c r="K119" s="48"/>
      <c r="L119" s="48"/>
      <c r="M119" s="48"/>
      <c r="N119" s="48"/>
      <c r="O119" s="112">
        <f>$O$37*O114</f>
        <v>0</v>
      </c>
      <c r="P119" s="112">
        <f t="shared" ref="P119:Z119" si="6">$O$37*P114</f>
        <v>0</v>
      </c>
      <c r="Q119" s="112">
        <f t="shared" si="6"/>
        <v>0</v>
      </c>
      <c r="R119" s="112">
        <f t="shared" si="6"/>
        <v>0</v>
      </c>
      <c r="S119" s="112">
        <f t="shared" si="6"/>
        <v>0</v>
      </c>
      <c r="T119" s="112">
        <f t="shared" si="6"/>
        <v>0</v>
      </c>
      <c r="U119" s="112">
        <f t="shared" si="6"/>
        <v>0</v>
      </c>
      <c r="V119" s="112">
        <f t="shared" si="6"/>
        <v>0</v>
      </c>
      <c r="W119" s="112">
        <f t="shared" si="6"/>
        <v>0</v>
      </c>
      <c r="X119" s="112">
        <f t="shared" si="6"/>
        <v>0</v>
      </c>
      <c r="Y119" s="112">
        <f t="shared" si="6"/>
        <v>0</v>
      </c>
      <c r="Z119" s="112">
        <f t="shared" si="6"/>
        <v>0</v>
      </c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</row>
    <row r="120" spans="1:57" x14ac:dyDescent="0.2">
      <c r="A120" s="46"/>
      <c r="B120" s="46"/>
      <c r="C120" s="47"/>
      <c r="D120" s="48" t="str">
        <f t="shared" ref="D120:D121" si="7">$O$16</f>
        <v>Network Performance</v>
      </c>
      <c r="E120" s="48"/>
      <c r="F120" s="48"/>
      <c r="G120" s="48"/>
      <c r="H120" s="48"/>
      <c r="I120" s="48"/>
      <c r="J120" s="79" t="str">
        <f t="shared" ref="J120:J121" si="8">J104</f>
        <v>Major</v>
      </c>
      <c r="K120" s="48"/>
      <c r="L120" s="48"/>
      <c r="M120" s="48"/>
      <c r="N120" s="48"/>
      <c r="O120" s="112">
        <f>$O$27*O115</f>
        <v>6413</v>
      </c>
      <c r="P120" s="112">
        <f t="shared" ref="P120:Z120" si="9">$O$27*P115</f>
        <v>7018</v>
      </c>
      <c r="Q120" s="112">
        <f t="shared" si="9"/>
        <v>7744.0000000000009</v>
      </c>
      <c r="R120" s="112">
        <f t="shared" si="9"/>
        <v>8530.5</v>
      </c>
      <c r="S120" s="112">
        <f t="shared" si="9"/>
        <v>9377.5000000000018</v>
      </c>
      <c r="T120" s="112">
        <f t="shared" si="9"/>
        <v>10285</v>
      </c>
      <c r="U120" s="112">
        <f t="shared" si="9"/>
        <v>11313.5</v>
      </c>
      <c r="V120" s="112">
        <f t="shared" si="9"/>
        <v>12463.000000000002</v>
      </c>
      <c r="W120" s="112">
        <f t="shared" si="9"/>
        <v>13673</v>
      </c>
      <c r="X120" s="112">
        <f t="shared" si="9"/>
        <v>15064.5</v>
      </c>
      <c r="Y120" s="112">
        <f t="shared" si="9"/>
        <v>16577.000000000004</v>
      </c>
      <c r="Z120" s="112">
        <f t="shared" si="9"/>
        <v>18210.5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</row>
    <row r="121" spans="1:57" x14ac:dyDescent="0.2">
      <c r="A121" s="46"/>
      <c r="B121" s="46"/>
      <c r="C121" s="47"/>
      <c r="D121" s="80" t="str">
        <f t="shared" si="7"/>
        <v>Network Performance</v>
      </c>
      <c r="E121" s="80"/>
      <c r="F121" s="80"/>
      <c r="G121" s="80"/>
      <c r="H121" s="80"/>
      <c r="I121" s="80"/>
      <c r="J121" s="79" t="str">
        <f t="shared" si="8"/>
        <v>Catastrophic</v>
      </c>
      <c r="K121" s="80"/>
      <c r="L121" s="80"/>
      <c r="M121" s="80"/>
      <c r="N121" s="80"/>
      <c r="O121" s="112">
        <f>$O$17*O116</f>
        <v>60923.500000000007</v>
      </c>
      <c r="P121" s="112">
        <f t="shared" ref="P121:Z121" si="10">$O$17*P116</f>
        <v>66973.500000000015</v>
      </c>
      <c r="Q121" s="112">
        <f t="shared" si="10"/>
        <v>73689.000000000015</v>
      </c>
      <c r="R121" s="112">
        <f t="shared" si="10"/>
        <v>81070.000000000015</v>
      </c>
      <c r="S121" s="112">
        <f t="shared" si="10"/>
        <v>89177</v>
      </c>
      <c r="T121" s="112">
        <f t="shared" si="10"/>
        <v>98070.5</v>
      </c>
      <c r="U121" s="112">
        <f t="shared" si="10"/>
        <v>107871.5</v>
      </c>
      <c r="V121" s="112">
        <f t="shared" si="10"/>
        <v>118640.5</v>
      </c>
      <c r="W121" s="112">
        <f t="shared" si="10"/>
        <v>130559</v>
      </c>
      <c r="X121" s="112">
        <f t="shared" si="10"/>
        <v>143566.50000000003</v>
      </c>
      <c r="Y121" s="112">
        <f t="shared" si="10"/>
        <v>157965.5</v>
      </c>
      <c r="Z121" s="112">
        <f t="shared" si="10"/>
        <v>173756.00000000003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</row>
    <row r="122" spans="1:57" x14ac:dyDescent="0.2">
      <c r="A122" s="46"/>
      <c r="B122" s="46"/>
      <c r="C122" s="47"/>
      <c r="D122" s="48" t="s">
        <v>187</v>
      </c>
      <c r="E122" s="48"/>
      <c r="F122" s="48"/>
      <c r="G122" s="48"/>
      <c r="H122" s="48"/>
      <c r="I122" s="48"/>
      <c r="J122" s="113" t="str">
        <f>J119</f>
        <v>Significant</v>
      </c>
      <c r="K122" s="48"/>
      <c r="L122" s="48"/>
      <c r="M122" s="48"/>
      <c r="N122" s="48"/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04">
        <v>0</v>
      </c>
      <c r="X122" s="104">
        <v>0</v>
      </c>
      <c r="Y122" s="104">
        <v>0</v>
      </c>
      <c r="Z122" s="104">
        <v>0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</row>
    <row r="123" spans="1:57" x14ac:dyDescent="0.2">
      <c r="A123" s="46"/>
      <c r="B123" s="46"/>
      <c r="C123" s="47"/>
      <c r="D123" s="80" t="str">
        <f>D122</f>
        <v>Network Performance - Coincidental outage</v>
      </c>
      <c r="E123" s="80"/>
      <c r="F123" s="80"/>
      <c r="G123" s="80"/>
      <c r="H123" s="80"/>
      <c r="I123" s="80"/>
      <c r="J123" s="79" t="str">
        <f>J120</f>
        <v>Major</v>
      </c>
      <c r="K123" s="80"/>
      <c r="L123" s="80"/>
      <c r="M123" s="80"/>
      <c r="N123" s="80"/>
      <c r="O123" s="109">
        <v>0</v>
      </c>
      <c r="P123" s="109">
        <v>0</v>
      </c>
      <c r="Q123" s="109">
        <v>0</v>
      </c>
      <c r="R123" s="109">
        <v>0</v>
      </c>
      <c r="S123" s="109">
        <v>0</v>
      </c>
      <c r="T123" s="109">
        <v>0</v>
      </c>
      <c r="U123" s="109">
        <v>0</v>
      </c>
      <c r="V123" s="109">
        <v>0</v>
      </c>
      <c r="W123" s="109">
        <v>0</v>
      </c>
      <c r="X123" s="109">
        <v>0</v>
      </c>
      <c r="Y123" s="109">
        <v>0</v>
      </c>
      <c r="Z123" s="109">
        <v>0</v>
      </c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</row>
    <row r="124" spans="1:57" x14ac:dyDescent="0.2">
      <c r="A124" s="46"/>
      <c r="B124" s="46"/>
      <c r="C124" s="47"/>
      <c r="D124" s="48" t="s">
        <v>170</v>
      </c>
      <c r="E124" s="48"/>
      <c r="F124" s="48"/>
      <c r="G124" s="48"/>
      <c r="H124" s="48"/>
      <c r="I124" s="48"/>
      <c r="J124" s="113" t="str">
        <f>J119</f>
        <v>Significant</v>
      </c>
      <c r="K124" s="48"/>
      <c r="L124" s="48"/>
      <c r="M124" s="48"/>
      <c r="N124" s="48"/>
      <c r="O124" s="81">
        <f t="shared" ref="O124:Z124" si="11">SUMIF($J$49:$J$51,$J124,$V$49:$V$51)*O114</f>
        <v>9196</v>
      </c>
      <c r="P124" s="81">
        <f t="shared" si="11"/>
        <v>10115.6</v>
      </c>
      <c r="Q124" s="81">
        <f t="shared" si="11"/>
        <v>11118.800000000001</v>
      </c>
      <c r="R124" s="81">
        <f t="shared" si="11"/>
        <v>12205.6</v>
      </c>
      <c r="S124" s="81">
        <f t="shared" si="11"/>
        <v>13459.6</v>
      </c>
      <c r="T124" s="81">
        <f t="shared" si="11"/>
        <v>14797.2</v>
      </c>
      <c r="U124" s="81">
        <f t="shared" si="11"/>
        <v>16302</v>
      </c>
      <c r="V124" s="81">
        <f t="shared" si="11"/>
        <v>17890.400000000001</v>
      </c>
      <c r="W124" s="81">
        <f t="shared" si="11"/>
        <v>19729.599999999999</v>
      </c>
      <c r="X124" s="81">
        <f t="shared" si="11"/>
        <v>21652.400000000001</v>
      </c>
      <c r="Y124" s="81">
        <f t="shared" si="11"/>
        <v>23826.000000000004</v>
      </c>
      <c r="Z124" s="81">
        <f t="shared" si="11"/>
        <v>26250.400000000001</v>
      </c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</row>
    <row r="125" spans="1:57" x14ac:dyDescent="0.2">
      <c r="A125" s="46"/>
      <c r="B125" s="46"/>
      <c r="C125" s="47"/>
      <c r="D125" s="48" t="s">
        <v>171</v>
      </c>
      <c r="E125" s="48"/>
      <c r="F125" s="48"/>
      <c r="G125" s="48"/>
      <c r="H125" s="48"/>
      <c r="I125" s="48"/>
      <c r="J125" s="79" t="str">
        <f>J120</f>
        <v>Major</v>
      </c>
      <c r="K125" s="48"/>
      <c r="L125" s="48"/>
      <c r="M125" s="48"/>
      <c r="N125" s="48"/>
      <c r="O125" s="66">
        <f t="shared" ref="O125:Z125" si="12">SUMIF($J$49:$J$51,$J125,$V$49:$V$51)*O115</f>
        <v>46126.960000000006</v>
      </c>
      <c r="P125" s="66">
        <f t="shared" si="12"/>
        <v>50478.560000000005</v>
      </c>
      <c r="Q125" s="66">
        <f t="shared" si="12"/>
        <v>55700.480000000018</v>
      </c>
      <c r="R125" s="66">
        <f t="shared" si="12"/>
        <v>61357.560000000012</v>
      </c>
      <c r="S125" s="66">
        <f t="shared" si="12"/>
        <v>67449.800000000017</v>
      </c>
      <c r="T125" s="66">
        <f t="shared" si="12"/>
        <v>73977.200000000012</v>
      </c>
      <c r="U125" s="66">
        <f t="shared" si="12"/>
        <v>81374.920000000013</v>
      </c>
      <c r="V125" s="66">
        <f t="shared" si="12"/>
        <v>89642.960000000021</v>
      </c>
      <c r="W125" s="66">
        <f t="shared" si="12"/>
        <v>98346.160000000018</v>
      </c>
      <c r="X125" s="66">
        <f t="shared" si="12"/>
        <v>108354.84000000001</v>
      </c>
      <c r="Y125" s="66">
        <f t="shared" si="12"/>
        <v>119233.84000000003</v>
      </c>
      <c r="Z125" s="66">
        <f t="shared" si="12"/>
        <v>130983.16000000002</v>
      </c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</row>
    <row r="126" spans="1:57" x14ac:dyDescent="0.2">
      <c r="A126" s="46"/>
      <c r="B126" s="46"/>
      <c r="C126" s="47"/>
      <c r="D126" s="48" t="s">
        <v>172</v>
      </c>
      <c r="E126" s="48"/>
      <c r="F126" s="48"/>
      <c r="G126" s="48"/>
      <c r="H126" s="48"/>
      <c r="I126" s="48"/>
      <c r="J126" s="79" t="str">
        <f>J121</f>
        <v>Catastrophic</v>
      </c>
      <c r="K126" s="48"/>
      <c r="L126" s="48"/>
      <c r="M126" s="48"/>
      <c r="N126" s="48"/>
      <c r="O126" s="66">
        <f t="shared" ref="O126:Z126" si="13">SUMIF($J$49:$J$51,$J126,$V$49:$V$51)*O116</f>
        <v>438206.12000000005</v>
      </c>
      <c r="P126" s="66">
        <f t="shared" si="13"/>
        <v>481722.12000000011</v>
      </c>
      <c r="Q126" s="66">
        <f t="shared" si="13"/>
        <v>530024.88000000012</v>
      </c>
      <c r="R126" s="66">
        <f t="shared" si="13"/>
        <v>583114.40000000014</v>
      </c>
      <c r="S126" s="66">
        <f t="shared" si="13"/>
        <v>641425.84000000008</v>
      </c>
      <c r="T126" s="66">
        <f t="shared" si="13"/>
        <v>705394.3600000001</v>
      </c>
      <c r="U126" s="66">
        <f t="shared" si="13"/>
        <v>775890.28000000014</v>
      </c>
      <c r="V126" s="66">
        <f t="shared" si="13"/>
        <v>853348.76000000013</v>
      </c>
      <c r="W126" s="66">
        <f t="shared" si="13"/>
        <v>939075.28000000014</v>
      </c>
      <c r="X126" s="66">
        <f t="shared" si="13"/>
        <v>1032634.6800000003</v>
      </c>
      <c r="Y126" s="66">
        <f t="shared" si="13"/>
        <v>1136202.7600000002</v>
      </c>
      <c r="Z126" s="66">
        <f t="shared" si="13"/>
        <v>1249779.5200000003</v>
      </c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</row>
    <row r="127" spans="1:57" x14ac:dyDescent="0.2">
      <c r="A127" s="46"/>
      <c r="B127" s="46"/>
      <c r="C127" s="47"/>
      <c r="D127" s="80" t="s">
        <v>173</v>
      </c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66">
        <f>Inputs!$J$27*$I$11</f>
        <v>0</v>
      </c>
      <c r="P127" s="66">
        <f>Inputs!$J$27*$I$11</f>
        <v>0</v>
      </c>
      <c r="Q127" s="66">
        <f>Inputs!$J$27*$I$11</f>
        <v>0</v>
      </c>
      <c r="R127" s="66">
        <f>Inputs!$J$27*$I$11</f>
        <v>0</v>
      </c>
      <c r="S127" s="66">
        <f>Inputs!$J$27*$I$11</f>
        <v>0</v>
      </c>
      <c r="T127" s="66">
        <f>Inputs!$J$27*$I$11</f>
        <v>0</v>
      </c>
      <c r="U127" s="66">
        <f>Inputs!$J$27*$I$11</f>
        <v>0</v>
      </c>
      <c r="V127" s="66">
        <f>Inputs!$J$27*$I$11</f>
        <v>0</v>
      </c>
      <c r="W127" s="66">
        <f>Inputs!$J$27*$I$11</f>
        <v>0</v>
      </c>
      <c r="X127" s="66">
        <f>Inputs!$J$27*$I$11</f>
        <v>0</v>
      </c>
      <c r="Y127" s="66">
        <f>Inputs!$J$27*$I$11</f>
        <v>0</v>
      </c>
      <c r="Z127" s="66">
        <f>Inputs!$J$27*$I$11</f>
        <v>0</v>
      </c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</row>
    <row r="128" spans="1:57" x14ac:dyDescent="0.2">
      <c r="A128" s="46"/>
      <c r="B128" s="46"/>
      <c r="C128" s="47"/>
      <c r="D128" s="48" t="s">
        <v>161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90">
        <f>SUM(O119:O127)</f>
        <v>560865.58000000007</v>
      </c>
      <c r="P128" s="90">
        <f t="shared" ref="P128:Z128" si="14">SUM(P119:P127)</f>
        <v>616307.78000000014</v>
      </c>
      <c r="Q128" s="90">
        <f t="shared" si="14"/>
        <v>678277.16000000015</v>
      </c>
      <c r="R128" s="90">
        <f t="shared" si="14"/>
        <v>746278.06000000017</v>
      </c>
      <c r="S128" s="90">
        <f t="shared" si="14"/>
        <v>820889.74000000011</v>
      </c>
      <c r="T128" s="90">
        <f t="shared" si="14"/>
        <v>902524.26000000013</v>
      </c>
      <c r="U128" s="90">
        <f t="shared" si="14"/>
        <v>992752.20000000019</v>
      </c>
      <c r="V128" s="90">
        <f t="shared" si="14"/>
        <v>1091985.6200000001</v>
      </c>
      <c r="W128" s="90">
        <f t="shared" si="14"/>
        <v>1201383.04</v>
      </c>
      <c r="X128" s="90">
        <f t="shared" si="14"/>
        <v>1321272.9200000004</v>
      </c>
      <c r="Y128" s="90">
        <f t="shared" si="14"/>
        <v>1453805.1000000003</v>
      </c>
      <c r="Z128" s="90">
        <f t="shared" si="14"/>
        <v>1598979.5800000003</v>
      </c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</row>
    <row r="129" spans="1:57" x14ac:dyDescent="0.2">
      <c r="A129" s="46"/>
      <c r="B129" s="46"/>
      <c r="C129" s="47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</row>
    <row r="130" spans="1:57" x14ac:dyDescent="0.2">
      <c r="A130" s="49" t="s">
        <v>174</v>
      </c>
      <c r="B130" s="49"/>
      <c r="C130" s="50"/>
      <c r="D130" s="51"/>
      <c r="E130" s="51"/>
      <c r="F130" s="51"/>
      <c r="G130" s="51"/>
      <c r="H130" s="51"/>
      <c r="I130" s="51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</row>
    <row r="131" spans="1:57" x14ac:dyDescent="0.2">
      <c r="A131" s="46"/>
      <c r="B131" s="46"/>
      <c r="C131" s="47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</row>
    <row r="132" spans="1:57" x14ac:dyDescent="0.2">
      <c r="A132" s="46"/>
      <c r="B132" s="46" t="s">
        <v>175</v>
      </c>
      <c r="C132" s="47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</row>
    <row r="133" spans="1:57" x14ac:dyDescent="0.2">
      <c r="A133" s="46"/>
      <c r="B133" s="46"/>
      <c r="C133" s="47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</row>
    <row r="134" spans="1:57" x14ac:dyDescent="0.2">
      <c r="A134" s="46"/>
      <c r="B134" s="46"/>
      <c r="C134" s="47" t="s">
        <v>176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</row>
    <row r="135" spans="1:57" x14ac:dyDescent="0.2">
      <c r="A135" s="46"/>
      <c r="B135" s="46"/>
      <c r="C135" s="47"/>
      <c r="D135" s="48" t="str">
        <f>Inputs!D22</f>
        <v>Capex ($2021)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66">
        <f>Inputs!O22*'Scenario C'!$I$10</f>
        <v>0</v>
      </c>
      <c r="P135" s="66">
        <f>Inputs!P22*'Scenario C'!$I$10</f>
        <v>1937783.3628318587</v>
      </c>
      <c r="Q135" s="66">
        <f>Inputs!Q22*'Scenario C'!$I$10</f>
        <v>2735694.1592920357</v>
      </c>
      <c r="R135" s="66">
        <f>Inputs!R22*'Scenario C'!$I$10</f>
        <v>3077655.9292035406</v>
      </c>
      <c r="S135" s="66">
        <f>Inputs!S22*'Scenario C'!$I$10</f>
        <v>3077655.9292035406</v>
      </c>
      <c r="T135" s="66">
        <f>Inputs!T22*'Scenario C'!$I$10</f>
        <v>3077655.9292035406</v>
      </c>
      <c r="U135" s="66">
        <f>Inputs!U22*'Scenario C'!$I$10</f>
        <v>3077655.9292035406</v>
      </c>
      <c r="V135" s="66">
        <f>Inputs!V22*'Scenario C'!$I$10</f>
        <v>3077655.9292035406</v>
      </c>
      <c r="W135" s="66">
        <f>Inputs!W22*'Scenario C'!$I$10</f>
        <v>3077655.9292035406</v>
      </c>
      <c r="X135" s="66">
        <f>Inputs!X22*'Scenario C'!$I$10</f>
        <v>3077655.9292035406</v>
      </c>
      <c r="Y135" s="66">
        <f>Inputs!Y22*'Scenario C'!$I$10</f>
        <v>3077655.9292035406</v>
      </c>
      <c r="Z135" s="66">
        <f>Inputs!Z22*'Scenario C'!$I$10</f>
        <v>3077655.9292035406</v>
      </c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</row>
    <row r="136" spans="1:57" x14ac:dyDescent="0.2">
      <c r="A136" s="46"/>
      <c r="B136" s="46"/>
      <c r="C136" s="47"/>
      <c r="D136" s="48" t="s">
        <v>177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66">
        <f>(O135&lt;&gt;0)*1</f>
        <v>0</v>
      </c>
      <c r="P136" s="66">
        <f t="shared" ref="P136:Z136" si="15">(P135&lt;&gt;0)*1</f>
        <v>1</v>
      </c>
      <c r="Q136" s="66">
        <f t="shared" si="15"/>
        <v>1</v>
      </c>
      <c r="R136" s="66">
        <f t="shared" si="15"/>
        <v>1</v>
      </c>
      <c r="S136" s="66">
        <f t="shared" si="15"/>
        <v>1</v>
      </c>
      <c r="T136" s="66">
        <f t="shared" si="15"/>
        <v>1</v>
      </c>
      <c r="U136" s="66">
        <f t="shared" si="15"/>
        <v>1</v>
      </c>
      <c r="V136" s="66">
        <f t="shared" si="15"/>
        <v>1</v>
      </c>
      <c r="W136" s="66">
        <f t="shared" si="15"/>
        <v>1</v>
      </c>
      <c r="X136" s="66">
        <f t="shared" si="15"/>
        <v>1</v>
      </c>
      <c r="Y136" s="66">
        <f t="shared" si="15"/>
        <v>1</v>
      </c>
      <c r="Z136" s="66">
        <f t="shared" si="15"/>
        <v>1</v>
      </c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</row>
    <row r="137" spans="1:57" x14ac:dyDescent="0.2">
      <c r="A137" s="46"/>
      <c r="B137" s="46"/>
      <c r="C137" s="47"/>
      <c r="D137" s="48" t="s">
        <v>178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53">
        <f>(O136=1)*(1+Inputs!$J$11)^(SUM(O136:$Z136)-1)</f>
        <v>0</v>
      </c>
      <c r="P137" s="53">
        <f>(P136=1)*(1+Inputs!$J$11)^(SUM(P136:$Z136)-1)</f>
        <v>1.311651032586773</v>
      </c>
      <c r="Q137" s="53">
        <f>(Q136=1)*(1+Inputs!$J$11)^(SUM(Q136:$Z136)-1)</f>
        <v>1.2765460171160807</v>
      </c>
      <c r="R137" s="53">
        <f>(R136=1)*(1+Inputs!$J$11)^(SUM(R136:$Z136)-1)</f>
        <v>1.2423805519377913</v>
      </c>
      <c r="S137" s="53">
        <f>(S136=1)*(1+Inputs!$J$11)^(SUM(S136:$Z136)-1)</f>
        <v>1.2091294909370232</v>
      </c>
      <c r="T137" s="53">
        <f>(T136=1)*(1+Inputs!$J$11)^(SUM(T136:$Z136)-1)</f>
        <v>1.1767683610092683</v>
      </c>
      <c r="U137" s="53">
        <f>(U136=1)*(1+Inputs!$J$11)^(SUM(U136:$Z136)-1)</f>
        <v>1.1452733440479497</v>
      </c>
      <c r="V137" s="53">
        <f>(V136=1)*(1+Inputs!$J$11)^(SUM(V136:$Z136)-1)</f>
        <v>1.1146212594140628</v>
      </c>
      <c r="W137" s="53">
        <f>(W136=1)*(1+Inputs!$J$11)^(SUM(W136:$Z136)-1)</f>
        <v>1.0847895468750002</v>
      </c>
      <c r="X137" s="53">
        <f>(X136=1)*(1+Inputs!$J$11)^(SUM(X136:$Z136)-1)</f>
        <v>1.0557562500000002</v>
      </c>
      <c r="Y137" s="53">
        <f>(Y136=1)*(1+Inputs!$J$11)^(SUM(Y136:$Z136)-1)</f>
        <v>1.0275000000000001</v>
      </c>
      <c r="Z137" s="53">
        <f>(Z136=1)*(1+Inputs!$J$11)^(SUM(Z136:$Z136)-1)</f>
        <v>1</v>
      </c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</row>
    <row r="138" spans="1:57" x14ac:dyDescent="0.2">
      <c r="A138" s="46"/>
      <c r="B138" s="46"/>
      <c r="C138" s="47"/>
      <c r="D138" s="48" t="s">
        <v>179</v>
      </c>
      <c r="E138" s="48"/>
      <c r="F138" s="48"/>
      <c r="G138" s="48"/>
      <c r="H138" s="48"/>
      <c r="I138" s="48"/>
      <c r="J138" s="66">
        <f>PMT(Inputs!$J$11,Inputs!$J$12,-SUMPRODUCT('Scenario C'!O135:Z135,'Scenario C'!O137:Z137),0,0)</f>
        <v>1369903.4560752423</v>
      </c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</row>
    <row r="139" spans="1:57" x14ac:dyDescent="0.2">
      <c r="A139" s="46"/>
      <c r="B139" s="46"/>
      <c r="C139" s="47"/>
      <c r="D139" s="48" t="s">
        <v>180</v>
      </c>
      <c r="E139" s="48"/>
      <c r="F139" s="48"/>
      <c r="G139" s="48"/>
      <c r="H139" s="48"/>
      <c r="I139" s="48"/>
      <c r="J139" s="66">
        <f>Inputs!K27*$I$11</f>
        <v>0</v>
      </c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</row>
    <row r="140" spans="1:57" x14ac:dyDescent="0.2">
      <c r="A140" s="46"/>
      <c r="B140" s="46"/>
      <c r="C140" s="47"/>
      <c r="D140" s="48" t="s">
        <v>181</v>
      </c>
      <c r="E140" s="48"/>
      <c r="F140" s="48"/>
      <c r="G140" s="48"/>
      <c r="H140" s="48"/>
      <c r="I140" s="48"/>
      <c r="J140" s="66">
        <f>SUM(J138:J139)</f>
        <v>1369903.4560752423</v>
      </c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</row>
    <row r="141" spans="1:57" x14ac:dyDescent="0.2">
      <c r="A141" s="46"/>
      <c r="B141" s="46"/>
      <c r="C141" s="47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</row>
    <row r="142" spans="1:57" x14ac:dyDescent="0.2">
      <c r="A142" s="49" t="s">
        <v>182</v>
      </c>
      <c r="B142" s="49"/>
      <c r="C142" s="50"/>
      <c r="D142" s="51"/>
      <c r="E142" s="51"/>
      <c r="F142" s="51"/>
      <c r="G142" s="51"/>
      <c r="H142" s="51"/>
      <c r="I142" s="51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</row>
    <row r="143" spans="1:57" x14ac:dyDescent="0.2">
      <c r="A143" s="46"/>
      <c r="B143" s="46"/>
      <c r="C143" s="47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</row>
    <row r="144" spans="1:57" x14ac:dyDescent="0.2">
      <c r="A144" s="46"/>
      <c r="B144" s="46" t="s">
        <v>183</v>
      </c>
      <c r="C144" s="47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</row>
    <row r="145" spans="1:57" x14ac:dyDescent="0.2">
      <c r="A145" s="46"/>
      <c r="B145" s="46"/>
      <c r="C145" s="47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</row>
    <row r="146" spans="1:57" x14ac:dyDescent="0.2">
      <c r="A146" s="46"/>
      <c r="B146" s="46"/>
      <c r="C146" s="47" t="s">
        <v>8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79">
        <f t="shared" ref="O146:Z146" si="16">O2</f>
        <v>2019</v>
      </c>
      <c r="P146" s="79">
        <f t="shared" si="16"/>
        <v>2020</v>
      </c>
      <c r="Q146" s="79">
        <f t="shared" si="16"/>
        <v>2021</v>
      </c>
      <c r="R146" s="79">
        <f t="shared" si="16"/>
        <v>2022</v>
      </c>
      <c r="S146" s="79">
        <f t="shared" si="16"/>
        <v>2023</v>
      </c>
      <c r="T146" s="79">
        <f t="shared" si="16"/>
        <v>2024</v>
      </c>
      <c r="U146" s="79">
        <f t="shared" si="16"/>
        <v>2025</v>
      </c>
      <c r="V146" s="79">
        <f t="shared" si="16"/>
        <v>2026</v>
      </c>
      <c r="W146" s="79">
        <f t="shared" si="16"/>
        <v>2027</v>
      </c>
      <c r="X146" s="79">
        <f t="shared" si="16"/>
        <v>2028</v>
      </c>
      <c r="Y146" s="79">
        <f t="shared" si="16"/>
        <v>2029</v>
      </c>
      <c r="Z146" s="79">
        <f t="shared" si="16"/>
        <v>2030</v>
      </c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</row>
    <row r="147" spans="1:57" x14ac:dyDescent="0.2">
      <c r="A147" s="46"/>
      <c r="B147" s="46"/>
      <c r="C147" s="47"/>
      <c r="D147" s="48" t="s">
        <v>184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66">
        <f>O128</f>
        <v>560865.58000000007</v>
      </c>
      <c r="P147" s="66">
        <f t="shared" ref="P147:Z147" si="17">P128</f>
        <v>616307.78000000014</v>
      </c>
      <c r="Q147" s="66">
        <f t="shared" si="17"/>
        <v>678277.16000000015</v>
      </c>
      <c r="R147" s="66">
        <f t="shared" si="17"/>
        <v>746278.06000000017</v>
      </c>
      <c r="S147" s="66">
        <f t="shared" si="17"/>
        <v>820889.74000000011</v>
      </c>
      <c r="T147" s="66">
        <f t="shared" si="17"/>
        <v>902524.26000000013</v>
      </c>
      <c r="U147" s="66">
        <f t="shared" si="17"/>
        <v>992752.20000000019</v>
      </c>
      <c r="V147" s="66">
        <f t="shared" si="17"/>
        <v>1091985.6200000001</v>
      </c>
      <c r="W147" s="66">
        <f t="shared" si="17"/>
        <v>1201383.04</v>
      </c>
      <c r="X147" s="66">
        <f t="shared" si="17"/>
        <v>1321272.9200000004</v>
      </c>
      <c r="Y147" s="66">
        <f t="shared" si="17"/>
        <v>1453805.1000000003</v>
      </c>
      <c r="Z147" s="66">
        <f t="shared" si="17"/>
        <v>1598979.5800000003</v>
      </c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</row>
    <row r="148" spans="1:57" x14ac:dyDescent="0.2">
      <c r="A148" s="46"/>
      <c r="B148" s="46"/>
      <c r="C148" s="47"/>
      <c r="D148" s="48" t="s">
        <v>174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66">
        <f>$J$140</f>
        <v>1369903.4560752423</v>
      </c>
      <c r="P148" s="66">
        <f t="shared" ref="P148:Z148" si="18">$J$140</f>
        <v>1369903.4560752423</v>
      </c>
      <c r="Q148" s="66">
        <f t="shared" si="18"/>
        <v>1369903.4560752423</v>
      </c>
      <c r="R148" s="66">
        <f t="shared" si="18"/>
        <v>1369903.4560752423</v>
      </c>
      <c r="S148" s="66">
        <f t="shared" si="18"/>
        <v>1369903.4560752423</v>
      </c>
      <c r="T148" s="66">
        <f t="shared" si="18"/>
        <v>1369903.4560752423</v>
      </c>
      <c r="U148" s="66">
        <f t="shared" si="18"/>
        <v>1369903.4560752423</v>
      </c>
      <c r="V148" s="66">
        <f t="shared" si="18"/>
        <v>1369903.4560752423</v>
      </c>
      <c r="W148" s="66">
        <f t="shared" si="18"/>
        <v>1369903.4560752423</v>
      </c>
      <c r="X148" s="66">
        <f t="shared" si="18"/>
        <v>1369903.4560752423</v>
      </c>
      <c r="Y148" s="66">
        <f t="shared" si="18"/>
        <v>1369903.4560752423</v>
      </c>
      <c r="Z148" s="66">
        <f t="shared" si="18"/>
        <v>1369903.4560752423</v>
      </c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</row>
    <row r="149" spans="1:57" x14ac:dyDescent="0.2">
      <c r="A149" s="46"/>
      <c r="B149" s="46"/>
      <c r="C149" s="47"/>
      <c r="D149" s="48" t="s">
        <v>185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91" t="b">
        <f>(O147&gt;=O148)</f>
        <v>0</v>
      </c>
      <c r="P149" s="91" t="b">
        <f t="shared" ref="P149:Z149" si="19">(P147&gt;=P148)</f>
        <v>0</v>
      </c>
      <c r="Q149" s="91" t="b">
        <f t="shared" si="19"/>
        <v>0</v>
      </c>
      <c r="R149" s="91" t="b">
        <f t="shared" si="19"/>
        <v>0</v>
      </c>
      <c r="S149" s="91" t="b">
        <f t="shared" si="19"/>
        <v>0</v>
      </c>
      <c r="T149" s="91" t="b">
        <f t="shared" si="19"/>
        <v>0</v>
      </c>
      <c r="U149" s="91" t="b">
        <f t="shared" si="19"/>
        <v>0</v>
      </c>
      <c r="V149" s="91" t="b">
        <f t="shared" si="19"/>
        <v>0</v>
      </c>
      <c r="W149" s="91" t="b">
        <f t="shared" si="19"/>
        <v>0</v>
      </c>
      <c r="X149" s="91" t="b">
        <f t="shared" si="19"/>
        <v>0</v>
      </c>
      <c r="Y149" s="91" t="b">
        <f t="shared" si="19"/>
        <v>1</v>
      </c>
      <c r="Z149" s="91" t="b">
        <f t="shared" si="19"/>
        <v>1</v>
      </c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</row>
    <row r="150" spans="1:57" x14ac:dyDescent="0.2">
      <c r="A150" s="46"/>
      <c r="B150" s="46"/>
      <c r="C150" s="47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</row>
    <row r="151" spans="1:57" x14ac:dyDescent="0.2">
      <c r="A151" s="49" t="s">
        <v>147</v>
      </c>
      <c r="B151" s="49"/>
      <c r="C151" s="50"/>
      <c r="D151" s="51"/>
      <c r="E151" s="51"/>
      <c r="F151" s="51"/>
      <c r="G151" s="51"/>
      <c r="H151" s="51"/>
      <c r="I151" s="51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P39" sqref="P39"/>
    </sheetView>
  </sheetViews>
  <sheetFormatPr defaultColWidth="0" defaultRowHeight="12.75" zeroHeight="1" x14ac:dyDescent="0.2"/>
  <cols>
    <col min="1" max="8" width="3.125" style="41" customWidth="1"/>
    <col min="9" max="9" width="16.25" style="41" customWidth="1"/>
    <col min="10" max="26" width="12.5" style="41" customWidth="1"/>
    <col min="27" max="27" width="3" style="41" customWidth="1"/>
    <col min="28" max="57" width="0.625" style="41" customWidth="1"/>
    <col min="58" max="16384" width="9" style="41" hidden="1"/>
  </cols>
  <sheetData>
    <row r="1" spans="1:57" ht="13.15" x14ac:dyDescent="0.4">
      <c r="A1" s="38" t="str">
        <f>Inputs!A1</f>
        <v>CitiPower - CBD Cable Pits</v>
      </c>
      <c r="B1" s="38"/>
      <c r="C1" s="39"/>
      <c r="D1" s="40"/>
      <c r="E1" s="40"/>
      <c r="F1" s="40"/>
      <c r="G1" s="40"/>
      <c r="H1" s="40"/>
      <c r="I1" s="40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57" ht="13.15" x14ac:dyDescent="0.4">
      <c r="A2" s="42" t="str">
        <f ca="1">RIGHT(CELL("filename", $A$1), LEN(CELL("filename", $A$1)) - SEARCH("]", CELL("filename", $A$1)))</f>
        <v>Scenario D</v>
      </c>
      <c r="B2" s="42"/>
      <c r="C2" s="43"/>
      <c r="D2" s="44"/>
      <c r="E2" s="44"/>
      <c r="F2" s="44"/>
      <c r="G2" s="44"/>
      <c r="H2" s="44"/>
      <c r="I2" s="44"/>
      <c r="J2" s="42"/>
      <c r="K2" s="42"/>
      <c r="L2" s="42"/>
      <c r="M2" s="42"/>
      <c r="N2" s="42"/>
      <c r="O2" s="45">
        <f>Inputs!O2</f>
        <v>2019</v>
      </c>
      <c r="P2" s="45">
        <f>Inputs!P2</f>
        <v>2020</v>
      </c>
      <c r="Q2" s="45">
        <f>Inputs!Q2</f>
        <v>2021</v>
      </c>
      <c r="R2" s="45">
        <f>Inputs!R2</f>
        <v>2022</v>
      </c>
      <c r="S2" s="45">
        <f>Inputs!S2</f>
        <v>2023</v>
      </c>
      <c r="T2" s="45">
        <f>Inputs!T2</f>
        <v>2024</v>
      </c>
      <c r="U2" s="45">
        <f>Inputs!U2</f>
        <v>2025</v>
      </c>
      <c r="V2" s="45">
        <f>Inputs!V2</f>
        <v>2026</v>
      </c>
      <c r="W2" s="45">
        <f>Inputs!W2</f>
        <v>2027</v>
      </c>
      <c r="X2" s="45">
        <f>Inputs!X2</f>
        <v>2028</v>
      </c>
      <c r="Y2" s="45">
        <f>Inputs!Y2</f>
        <v>2029</v>
      </c>
      <c r="Z2" s="45">
        <f>Inputs!Z2</f>
        <v>2030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</row>
    <row r="3" spans="1:57" ht="13.15" x14ac:dyDescent="0.4">
      <c r="A3" s="46"/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57" ht="13.15" x14ac:dyDescent="0.4">
      <c r="A4" s="49" t="str">
        <f>C8&amp;" "&amp;I8&amp;": "&amp;B6</f>
        <v>Scenario D: Consequence calculation</v>
      </c>
      <c r="B4" s="49"/>
      <c r="C4" s="50"/>
      <c r="D4" s="51"/>
      <c r="E4" s="51"/>
      <c r="F4" s="51"/>
      <c r="G4" s="51"/>
      <c r="H4" s="51"/>
      <c r="I4" s="51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</row>
    <row r="5" spans="1:57" ht="13.15" x14ac:dyDescent="0.4">
      <c r="A5" s="46"/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</row>
    <row r="6" spans="1:57" ht="13.15" x14ac:dyDescent="0.4">
      <c r="A6" s="46"/>
      <c r="B6" s="46" t="s">
        <v>148</v>
      </c>
      <c r="C6" s="47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</row>
    <row r="7" spans="1:57" ht="13.15" x14ac:dyDescent="0.4">
      <c r="A7" s="46"/>
      <c r="B7" s="46"/>
      <c r="C7" s="47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</row>
    <row r="8" spans="1:57" ht="13.15" x14ac:dyDescent="0.4">
      <c r="A8" s="46"/>
      <c r="B8" s="46"/>
      <c r="C8" s="47" t="s">
        <v>149</v>
      </c>
      <c r="D8" s="48"/>
      <c r="E8" s="48"/>
      <c r="F8" s="48"/>
      <c r="G8" s="48"/>
      <c r="H8" s="48"/>
      <c r="I8" s="52" t="s">
        <v>32</v>
      </c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</row>
    <row r="9" spans="1:57" ht="13.15" x14ac:dyDescent="0.4">
      <c r="A9" s="46"/>
      <c r="B9" s="46"/>
      <c r="C9" s="47"/>
      <c r="D9" s="48" t="str">
        <f>Inputs!J52</f>
        <v>PoF</v>
      </c>
      <c r="E9" s="48"/>
      <c r="F9" s="48"/>
      <c r="G9" s="48"/>
      <c r="H9" s="48"/>
      <c r="I9" s="53">
        <f>INDEX(Inputs!$D$52:$O$57,MATCH('Scenario D'!$I$8,Inputs!$D$52:$D$57,0),MATCH('Scenario D'!$D9,Inputs!$D$52:$O$52,0))</f>
        <v>1.1000000000000001</v>
      </c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ht="13.15" x14ac:dyDescent="0.4">
      <c r="A10" s="46"/>
      <c r="B10" s="46"/>
      <c r="C10" s="47"/>
      <c r="D10" s="48" t="str">
        <f>Inputs!K52</f>
        <v>Capex</v>
      </c>
      <c r="E10" s="48"/>
      <c r="F10" s="48"/>
      <c r="G10" s="48"/>
      <c r="H10" s="48"/>
      <c r="I10" s="53">
        <f>INDEX(Inputs!$D$52:$O$57,MATCH('Scenario D'!$I$8,Inputs!$D$52:$D$57,0),MATCH('Scenario D'!$D10,Inputs!$D$52:$O$52,0))</f>
        <v>0.9</v>
      </c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</row>
    <row r="11" spans="1:57" ht="13.15" x14ac:dyDescent="0.4">
      <c r="A11" s="46"/>
      <c r="B11" s="46"/>
      <c r="C11" s="47"/>
      <c r="D11" s="48" t="str">
        <f>Inputs!L52</f>
        <v>Opex</v>
      </c>
      <c r="E11" s="48"/>
      <c r="F11" s="48"/>
      <c r="G11" s="48"/>
      <c r="H11" s="48"/>
      <c r="I11" s="53">
        <f>INDEX(Inputs!$D$52:$O$57,MATCH('Scenario D'!$I$8,Inputs!$D$52:$D$57,0),MATCH('Scenario D'!$D11,Inputs!$D$52:$O$52,0))</f>
        <v>1.1000000000000001</v>
      </c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</row>
    <row r="12" spans="1:57" ht="13.15" x14ac:dyDescent="0.4">
      <c r="A12" s="46"/>
      <c r="B12" s="46"/>
      <c r="C12" s="47"/>
      <c r="D12" s="48" t="str">
        <f>Inputs!M52</f>
        <v>Demand</v>
      </c>
      <c r="E12" s="48"/>
      <c r="F12" s="48"/>
      <c r="G12" s="48"/>
      <c r="H12" s="48"/>
      <c r="I12" s="53">
        <f>INDEX(Inputs!$D$52:$O$57,MATCH('Scenario D'!$I$8,Inputs!$D$52:$D$57,0),MATCH('Scenario D'!$D12,Inputs!$D$52:$O$52,0))</f>
        <v>1.05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</row>
    <row r="13" spans="1:57" ht="13.15" x14ac:dyDescent="0.4">
      <c r="A13" s="46"/>
      <c r="B13" s="46"/>
      <c r="C13" s="47"/>
      <c r="D13" s="48" t="str">
        <f>Inputs!N52</f>
        <v>VCR</v>
      </c>
      <c r="E13" s="48"/>
      <c r="F13" s="48"/>
      <c r="G13" s="48"/>
      <c r="H13" s="48"/>
      <c r="I13" s="53">
        <f>INDEX(Inputs!$D$52:$O$57,MATCH('Scenario D'!$I$8,Inputs!$D$52:$D$57,0),MATCH('Scenario D'!$D13,Inputs!$D$52:$O$52,0))</f>
        <v>1.1000000000000001</v>
      </c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</row>
    <row r="14" spans="1:57" ht="13.15" x14ac:dyDescent="0.4">
      <c r="A14" s="46"/>
      <c r="B14" s="46"/>
      <c r="C14" s="47"/>
      <c r="D14" s="48" t="str">
        <f>Inputs!O52</f>
        <v>Environment</v>
      </c>
      <c r="E14" s="48"/>
      <c r="F14" s="48"/>
      <c r="G14" s="48"/>
      <c r="H14" s="48"/>
      <c r="I14" s="53">
        <f>INDEX(Inputs!$D$52:$O$57,MATCH('Scenario D'!$I$8,Inputs!$D$52:$D$57,0),MATCH('Scenario D'!$D14,Inputs!$D$52:$O$52,0))</f>
        <v>1.1000000000000001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</row>
    <row r="15" spans="1:57" ht="13.15" x14ac:dyDescent="0.4">
      <c r="A15" s="46"/>
      <c r="B15" s="46"/>
      <c r="C15" s="47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</row>
    <row r="16" spans="1:57" ht="39.4" x14ac:dyDescent="0.4">
      <c r="A16" s="46"/>
      <c r="B16" s="46"/>
      <c r="C16" s="47"/>
      <c r="D16" s="48"/>
      <c r="E16" s="48"/>
      <c r="F16" s="48"/>
      <c r="G16" s="48"/>
      <c r="H16" s="48"/>
      <c r="I16" s="54" t="s">
        <v>69</v>
      </c>
      <c r="J16" s="55" t="s">
        <v>150</v>
      </c>
      <c r="K16" s="55" t="s">
        <v>151</v>
      </c>
      <c r="L16" s="55"/>
      <c r="M16" s="55"/>
      <c r="N16" s="56"/>
      <c r="O16" s="54" t="s">
        <v>152</v>
      </c>
      <c r="P16" s="55" t="s">
        <v>153</v>
      </c>
      <c r="Q16" s="55" t="s">
        <v>154</v>
      </c>
      <c r="R16" s="55" t="s">
        <v>155</v>
      </c>
      <c r="S16" s="55" t="s">
        <v>25</v>
      </c>
      <c r="T16" s="57" t="s">
        <v>156</v>
      </c>
      <c r="U16" s="54" t="s">
        <v>157</v>
      </c>
      <c r="V16" s="58" t="s">
        <v>158</v>
      </c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</row>
    <row r="17" spans="1:57" ht="13.15" x14ac:dyDescent="0.4">
      <c r="A17" s="46"/>
      <c r="B17" s="46"/>
      <c r="C17" s="47"/>
      <c r="D17" s="48"/>
      <c r="E17" s="48"/>
      <c r="F17" s="48"/>
      <c r="G17" s="48"/>
      <c r="H17" s="48"/>
      <c r="I17" s="59">
        <f>INDEX(Inputs!$J$64:$J$66,MATCH('Scenario D'!J17,Inputs!$D$64:$D$66,0))</f>
        <v>3</v>
      </c>
      <c r="J17" s="92" t="s">
        <v>40</v>
      </c>
      <c r="K17" s="93" t="str">
        <f>'Base Case'!K17</f>
        <v>Expected average unserved energy @ VCR</v>
      </c>
      <c r="L17" s="94"/>
      <c r="M17" s="94"/>
      <c r="N17" s="95"/>
      <c r="O17" s="60">
        <f>'Base Case'!O17*'Scenario D'!$I$13</f>
        <v>550000</v>
      </c>
      <c r="P17" s="60">
        <v>0</v>
      </c>
      <c r="Q17" s="60">
        <f>'Base Case'!Q17*'Scenario D'!$I$11</f>
        <v>0</v>
      </c>
      <c r="R17" s="60">
        <f>'Base Case'!R17*'Scenario D'!$I$10</f>
        <v>0</v>
      </c>
      <c r="S17" s="60">
        <v>0</v>
      </c>
      <c r="T17" s="116">
        <f>'Base Case'!$T17</f>
        <v>1</v>
      </c>
      <c r="U17" s="60">
        <f>SUM(O17:S17)*T17</f>
        <v>550000</v>
      </c>
      <c r="V17" s="63">
        <f>SUM(P17:S17)*T17</f>
        <v>0</v>
      </c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</row>
    <row r="18" spans="1:57" ht="13.15" x14ac:dyDescent="0.4">
      <c r="A18" s="46"/>
      <c r="B18" s="46"/>
      <c r="C18" s="47"/>
      <c r="D18" s="48"/>
      <c r="E18" s="48"/>
      <c r="F18" s="48"/>
      <c r="G18" s="48"/>
      <c r="H18" s="48"/>
      <c r="I18" s="64">
        <f>INDEX(Inputs!$J$64:$J$66,MATCH('Scenario D'!J18,Inputs!$D$64:$D$66,0))</f>
        <v>3</v>
      </c>
      <c r="J18" s="96" t="s">
        <v>40</v>
      </c>
      <c r="K18" s="97" t="str">
        <f>'Base Case'!K18</f>
        <v>Safety consequence</v>
      </c>
      <c r="L18" s="98"/>
      <c r="M18" s="98"/>
      <c r="N18" s="99"/>
      <c r="O18" s="60">
        <v>0</v>
      </c>
      <c r="P18" s="60">
        <f>'Base Case'!P18</f>
        <v>14280000.000000002</v>
      </c>
      <c r="Q18" s="60">
        <f>'Base Case'!Q18*'Scenario D'!$I$11</f>
        <v>0</v>
      </c>
      <c r="R18" s="60">
        <f>'Base Case'!R18*'Scenario D'!$I$10</f>
        <v>0</v>
      </c>
      <c r="S18" s="60">
        <v>0</v>
      </c>
      <c r="T18" s="69">
        <f>'Base Case'!$T18</f>
        <v>0.2</v>
      </c>
      <c r="U18" s="70">
        <f t="shared" ref="U18:U46" si="0">SUM(O18:S18)*T18</f>
        <v>2856000.0000000005</v>
      </c>
      <c r="V18" s="71">
        <f t="shared" ref="V18:V46" si="1">SUM(P18:S18)*T18</f>
        <v>2856000.0000000005</v>
      </c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</row>
    <row r="19" spans="1:57" ht="13.15" x14ac:dyDescent="0.4">
      <c r="A19" s="46"/>
      <c r="B19" s="46"/>
      <c r="C19" s="47"/>
      <c r="D19" s="48"/>
      <c r="E19" s="48"/>
      <c r="F19" s="48"/>
      <c r="G19" s="48"/>
      <c r="H19" s="48"/>
      <c r="I19" s="64">
        <f>INDEX(Inputs!$J$64:$J$66,MATCH('Scenario D'!J19,Inputs!$D$64:$D$66,0))</f>
        <v>3</v>
      </c>
      <c r="J19" s="96" t="s">
        <v>40</v>
      </c>
      <c r="K19" s="97" t="str">
        <f>'Base Case'!K19</f>
        <v>Pit repair cost</v>
      </c>
      <c r="L19" s="98"/>
      <c r="M19" s="98"/>
      <c r="N19" s="99"/>
      <c r="O19" s="60">
        <v>0</v>
      </c>
      <c r="P19" s="60">
        <v>0</v>
      </c>
      <c r="Q19" s="60">
        <f>'Base Case'!Q19*'Scenario D'!$I$11</f>
        <v>0</v>
      </c>
      <c r="R19" s="60">
        <f>'Base Case'!R19*'Scenario D'!$I$10</f>
        <v>450000</v>
      </c>
      <c r="S19" s="60">
        <v>0</v>
      </c>
      <c r="T19" s="69">
        <f>'Base Case'!$T19</f>
        <v>1</v>
      </c>
      <c r="U19" s="70">
        <f t="shared" si="0"/>
        <v>450000</v>
      </c>
      <c r="V19" s="71">
        <f t="shared" si="1"/>
        <v>450000</v>
      </c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</row>
    <row r="20" spans="1:57" ht="13.15" x14ac:dyDescent="0.4">
      <c r="A20" s="46"/>
      <c r="B20" s="46"/>
      <c r="C20" s="47"/>
      <c r="D20" s="48"/>
      <c r="E20" s="48"/>
      <c r="F20" s="48"/>
      <c r="G20" s="48"/>
      <c r="H20" s="48"/>
      <c r="I20" s="64">
        <f>INDEX(Inputs!$J$64:$J$66,MATCH('Scenario D'!J20,Inputs!$D$64:$D$66,0))</f>
        <v>3</v>
      </c>
      <c r="J20" s="96" t="s">
        <v>40</v>
      </c>
      <c r="K20" s="97" t="str">
        <f>'Base Case'!K20</f>
        <v>Electrical Asset repair</v>
      </c>
      <c r="L20" s="98"/>
      <c r="M20" s="98"/>
      <c r="N20" s="99"/>
      <c r="O20" s="60">
        <v>0</v>
      </c>
      <c r="P20" s="60">
        <v>0</v>
      </c>
      <c r="Q20" s="60">
        <f>'Base Case'!Q20*'Scenario D'!$I$11</f>
        <v>440000.00000000006</v>
      </c>
      <c r="R20" s="60">
        <f>'Base Case'!R20*'Scenario D'!$I$10</f>
        <v>0</v>
      </c>
      <c r="S20" s="60">
        <v>0</v>
      </c>
      <c r="T20" s="69">
        <f>'Base Case'!$T20</f>
        <v>1</v>
      </c>
      <c r="U20" s="70">
        <f t="shared" si="0"/>
        <v>440000.00000000006</v>
      </c>
      <c r="V20" s="71">
        <f t="shared" si="1"/>
        <v>440000.00000000006</v>
      </c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</row>
    <row r="21" spans="1:57" ht="13.15" x14ac:dyDescent="0.4">
      <c r="A21" s="46"/>
      <c r="B21" s="46"/>
      <c r="C21" s="47"/>
      <c r="D21" s="48"/>
      <c r="E21" s="48"/>
      <c r="F21" s="48"/>
      <c r="G21" s="48"/>
      <c r="H21" s="48"/>
      <c r="I21" s="64">
        <f>INDEX(Inputs!$J$64:$J$66,MATCH('Scenario D'!J21,Inputs!$D$64:$D$66,0))</f>
        <v>3</v>
      </c>
      <c r="J21" s="96" t="s">
        <v>40</v>
      </c>
      <c r="K21" s="97" t="str">
        <f>'Base Case'!K21</f>
        <v>Damage to telecommunications</v>
      </c>
      <c r="L21" s="98"/>
      <c r="M21" s="98"/>
      <c r="N21" s="99"/>
      <c r="O21" s="60">
        <v>0</v>
      </c>
      <c r="P21" s="60">
        <v>0</v>
      </c>
      <c r="Q21" s="60">
        <f>'Base Case'!Q21*'Scenario D'!$I$11</f>
        <v>550000</v>
      </c>
      <c r="R21" s="60">
        <f>'Base Case'!R21*'Scenario D'!$I$10</f>
        <v>0</v>
      </c>
      <c r="S21" s="60">
        <v>0</v>
      </c>
      <c r="T21" s="69">
        <f>'Base Case'!$T21</f>
        <v>0.2</v>
      </c>
      <c r="U21" s="70">
        <f t="shared" si="0"/>
        <v>110000</v>
      </c>
      <c r="V21" s="71">
        <f t="shared" si="1"/>
        <v>110000</v>
      </c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ht="13.15" x14ac:dyDescent="0.4">
      <c r="A22" s="46"/>
      <c r="B22" s="46"/>
      <c r="C22" s="47"/>
      <c r="D22" s="48"/>
      <c r="E22" s="48"/>
      <c r="F22" s="48"/>
      <c r="G22" s="48"/>
      <c r="H22" s="48"/>
      <c r="I22" s="64">
        <f>INDEX(Inputs!$J$64:$J$66,MATCH('Scenario D'!J22,Inputs!$D$64:$D$66,0))</f>
        <v>3</v>
      </c>
      <c r="J22" s="96" t="s">
        <v>40</v>
      </c>
      <c r="K22" s="97" t="str">
        <f>'Base Case'!K22</f>
        <v>[Spare]</v>
      </c>
      <c r="L22" s="98"/>
      <c r="M22" s="98"/>
      <c r="N22" s="99"/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9">
        <f>'Base Case'!$T22</f>
        <v>0</v>
      </c>
      <c r="U22" s="70">
        <f t="shared" si="0"/>
        <v>0</v>
      </c>
      <c r="V22" s="71">
        <f t="shared" si="1"/>
        <v>0</v>
      </c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</row>
    <row r="23" spans="1:57" ht="13.15" x14ac:dyDescent="0.4">
      <c r="A23" s="46"/>
      <c r="B23" s="46"/>
      <c r="C23" s="47"/>
      <c r="D23" s="48"/>
      <c r="E23" s="48"/>
      <c r="F23" s="48"/>
      <c r="G23" s="48"/>
      <c r="H23" s="48"/>
      <c r="I23" s="64">
        <f>INDEX(Inputs!$J$64:$J$66,MATCH('Scenario D'!J23,Inputs!$D$64:$D$66,0))</f>
        <v>3</v>
      </c>
      <c r="J23" s="96" t="s">
        <v>40</v>
      </c>
      <c r="K23" s="97" t="str">
        <f>'Base Case'!K23</f>
        <v>[Spare]</v>
      </c>
      <c r="L23" s="98"/>
      <c r="M23" s="98"/>
      <c r="N23" s="99"/>
      <c r="O23" s="60">
        <v>0</v>
      </c>
      <c r="P23" s="60">
        <v>0</v>
      </c>
      <c r="Q23" s="60">
        <v>0</v>
      </c>
      <c r="R23" s="60">
        <v>0</v>
      </c>
      <c r="S23" s="60">
        <v>0</v>
      </c>
      <c r="T23" s="69">
        <f>'Base Case'!$T23</f>
        <v>0</v>
      </c>
      <c r="U23" s="70">
        <f t="shared" si="0"/>
        <v>0</v>
      </c>
      <c r="V23" s="71">
        <f t="shared" si="1"/>
        <v>0</v>
      </c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ht="13.15" x14ac:dyDescent="0.4">
      <c r="A24" s="46"/>
      <c r="B24" s="46"/>
      <c r="C24" s="47"/>
      <c r="D24" s="48"/>
      <c r="E24" s="48"/>
      <c r="F24" s="48"/>
      <c r="G24" s="48"/>
      <c r="H24" s="48"/>
      <c r="I24" s="64">
        <f>INDEX(Inputs!$J$64:$J$66,MATCH('Scenario D'!J24,Inputs!$D$64:$D$66,0))</f>
        <v>3</v>
      </c>
      <c r="J24" s="105" t="s">
        <v>40</v>
      </c>
      <c r="K24" s="106" t="str">
        <f>'Base Case'!K24</f>
        <v>[Spare]</v>
      </c>
      <c r="L24" s="107"/>
      <c r="M24" s="107"/>
      <c r="N24" s="108"/>
      <c r="O24" s="65">
        <v>0</v>
      </c>
      <c r="P24" s="109">
        <v>0</v>
      </c>
      <c r="Q24" s="109">
        <v>0</v>
      </c>
      <c r="R24" s="109">
        <v>0</v>
      </c>
      <c r="S24" s="110">
        <v>0</v>
      </c>
      <c r="T24" s="69">
        <f>'Base Case'!$T24</f>
        <v>0</v>
      </c>
      <c r="U24" s="70">
        <f t="shared" si="0"/>
        <v>0</v>
      </c>
      <c r="V24" s="71">
        <f t="shared" si="1"/>
        <v>0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</row>
    <row r="25" spans="1:57" ht="13.15" x14ac:dyDescent="0.4">
      <c r="A25" s="46"/>
      <c r="B25" s="46"/>
      <c r="C25" s="47"/>
      <c r="D25" s="48"/>
      <c r="E25" s="48"/>
      <c r="F25" s="48"/>
      <c r="G25" s="48"/>
      <c r="H25" s="48"/>
      <c r="I25" s="64">
        <f>INDEX(Inputs!$J$64:$J$66,MATCH('Scenario D'!J25,Inputs!$D$64:$D$66,0))</f>
        <v>3</v>
      </c>
      <c r="J25" s="96" t="s">
        <v>40</v>
      </c>
      <c r="K25" s="97" t="str">
        <f>'Base Case'!K25</f>
        <v>[Spare]</v>
      </c>
      <c r="L25" s="98"/>
      <c r="M25" s="98"/>
      <c r="N25" s="99"/>
      <c r="O25" s="65">
        <v>0</v>
      </c>
      <c r="P25" s="67">
        <v>0</v>
      </c>
      <c r="Q25" s="67">
        <v>0</v>
      </c>
      <c r="R25" s="67">
        <v>0</v>
      </c>
      <c r="S25" s="68">
        <v>0</v>
      </c>
      <c r="T25" s="69">
        <f>'Base Case'!$T25</f>
        <v>0</v>
      </c>
      <c r="U25" s="70">
        <f t="shared" si="0"/>
        <v>0</v>
      </c>
      <c r="V25" s="71">
        <f t="shared" si="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</row>
    <row r="26" spans="1:57" ht="13.15" x14ac:dyDescent="0.4">
      <c r="A26" s="46"/>
      <c r="B26" s="46"/>
      <c r="C26" s="47"/>
      <c r="D26" s="48"/>
      <c r="E26" s="48"/>
      <c r="F26" s="48"/>
      <c r="G26" s="48"/>
      <c r="H26" s="48"/>
      <c r="I26" s="72">
        <f>INDEX(Inputs!$J$64:$J$66,MATCH('Scenario D'!J26,Inputs!$D$64:$D$66,0))</f>
        <v>3</v>
      </c>
      <c r="J26" s="100" t="s">
        <v>40</v>
      </c>
      <c r="K26" s="101" t="str">
        <f>'Base Case'!K26</f>
        <v>[Spare]</v>
      </c>
      <c r="L26" s="102"/>
      <c r="M26" s="102"/>
      <c r="N26" s="103"/>
      <c r="O26" s="73">
        <v>0</v>
      </c>
      <c r="P26" s="74">
        <v>0</v>
      </c>
      <c r="Q26" s="74">
        <v>0</v>
      </c>
      <c r="R26" s="74">
        <v>0</v>
      </c>
      <c r="S26" s="75">
        <v>0</v>
      </c>
      <c r="T26" s="117">
        <f>'Base Case'!$T26</f>
        <v>0</v>
      </c>
      <c r="U26" s="76">
        <f t="shared" si="0"/>
        <v>0</v>
      </c>
      <c r="V26" s="77">
        <f t="shared" si="1"/>
        <v>0</v>
      </c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</row>
    <row r="27" spans="1:57" ht="13.15" x14ac:dyDescent="0.4">
      <c r="A27" s="46"/>
      <c r="B27" s="46"/>
      <c r="C27" s="47"/>
      <c r="D27" s="48"/>
      <c r="E27" s="48"/>
      <c r="F27" s="48"/>
      <c r="G27" s="48"/>
      <c r="H27" s="48"/>
      <c r="I27" s="59">
        <f>INDEX(Inputs!$J$64:$J$66,MATCH('Scenario D'!J27,Inputs!$D$64:$D$66,0))</f>
        <v>2</v>
      </c>
      <c r="J27" s="92" t="s">
        <v>39</v>
      </c>
      <c r="K27" s="93" t="str">
        <f>'Base Case'!K27</f>
        <v>Expected average unserved energy @ VCR</v>
      </c>
      <c r="L27" s="94"/>
      <c r="M27" s="94"/>
      <c r="N27" s="95"/>
      <c r="O27" s="60">
        <f>'Base Case'!O27*'Scenario D'!$I$13</f>
        <v>550000</v>
      </c>
      <c r="P27" s="60">
        <v>0</v>
      </c>
      <c r="Q27" s="60">
        <f>'Base Case'!Q27*'Scenario D'!$I$11</f>
        <v>0</v>
      </c>
      <c r="R27" s="60">
        <f>'Base Case'!R27*'Scenario D'!$I$10</f>
        <v>0</v>
      </c>
      <c r="S27" s="60">
        <v>0</v>
      </c>
      <c r="T27" s="116">
        <f>'Base Case'!$T27</f>
        <v>1</v>
      </c>
      <c r="U27" s="60">
        <f t="shared" si="0"/>
        <v>550000</v>
      </c>
      <c r="V27" s="63">
        <f t="shared" si="1"/>
        <v>0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</row>
    <row r="28" spans="1:57" ht="13.15" x14ac:dyDescent="0.4">
      <c r="A28" s="46"/>
      <c r="B28" s="46"/>
      <c r="C28" s="47"/>
      <c r="D28" s="48"/>
      <c r="E28" s="48"/>
      <c r="F28" s="48"/>
      <c r="G28" s="48"/>
      <c r="H28" s="48"/>
      <c r="I28" s="64">
        <f>INDEX(Inputs!$J$64:$J$66,MATCH('Scenario D'!J28,Inputs!$D$64:$D$66,0))</f>
        <v>2</v>
      </c>
      <c r="J28" s="96" t="s">
        <v>39</v>
      </c>
      <c r="K28" s="97" t="str">
        <f>'Base Case'!K28</f>
        <v>Safety consequence</v>
      </c>
      <c r="L28" s="98"/>
      <c r="M28" s="98"/>
      <c r="N28" s="99"/>
      <c r="O28" s="60">
        <v>0</v>
      </c>
      <c r="P28" s="60">
        <f>'Base Case'!P28</f>
        <v>14280000.000000002</v>
      </c>
      <c r="Q28" s="60">
        <f>'Base Case'!Q28*'Scenario D'!$I$11</f>
        <v>0</v>
      </c>
      <c r="R28" s="60">
        <f>'Base Case'!R28*'Scenario D'!$I$10</f>
        <v>0</v>
      </c>
      <c r="S28" s="60">
        <v>0</v>
      </c>
      <c r="T28" s="69">
        <f>'Base Case'!$T28</f>
        <v>0.2</v>
      </c>
      <c r="U28" s="70">
        <f t="shared" si="0"/>
        <v>2856000.0000000005</v>
      </c>
      <c r="V28" s="71">
        <f t="shared" si="1"/>
        <v>2856000.0000000005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</row>
    <row r="29" spans="1:57" ht="13.15" x14ac:dyDescent="0.4">
      <c r="A29" s="46"/>
      <c r="B29" s="46"/>
      <c r="C29" s="47"/>
      <c r="D29" s="48"/>
      <c r="E29" s="48"/>
      <c r="F29" s="48"/>
      <c r="G29" s="48"/>
      <c r="H29" s="48"/>
      <c r="I29" s="64">
        <f>INDEX(Inputs!$J$64:$J$66,MATCH('Scenario D'!J29,Inputs!$D$64:$D$66,0))</f>
        <v>2</v>
      </c>
      <c r="J29" s="96" t="s">
        <v>39</v>
      </c>
      <c r="K29" s="97" t="str">
        <f>'Base Case'!K29</f>
        <v>Pit repair cost</v>
      </c>
      <c r="L29" s="98"/>
      <c r="M29" s="98"/>
      <c r="N29" s="99"/>
      <c r="O29" s="60">
        <v>0</v>
      </c>
      <c r="P29" s="60">
        <v>0</v>
      </c>
      <c r="Q29" s="60">
        <f>'Base Case'!Q29*'Scenario D'!$I$11</f>
        <v>0</v>
      </c>
      <c r="R29" s="60">
        <f>'Base Case'!R29*'Scenario D'!$I$10</f>
        <v>450000</v>
      </c>
      <c r="S29" s="60">
        <v>0</v>
      </c>
      <c r="T29" s="69">
        <f>'Base Case'!$T29</f>
        <v>1</v>
      </c>
      <c r="U29" s="70">
        <f t="shared" si="0"/>
        <v>450000</v>
      </c>
      <c r="V29" s="71">
        <f t="shared" si="1"/>
        <v>450000</v>
      </c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</row>
    <row r="30" spans="1:57" ht="13.15" x14ac:dyDescent="0.4">
      <c r="A30" s="46"/>
      <c r="B30" s="46"/>
      <c r="C30" s="47"/>
      <c r="D30" s="48"/>
      <c r="E30" s="48"/>
      <c r="F30" s="48"/>
      <c r="G30" s="48"/>
      <c r="H30" s="48"/>
      <c r="I30" s="64">
        <f>INDEX(Inputs!$J$64:$J$66,MATCH('Scenario D'!J30,Inputs!$D$64:$D$66,0))</f>
        <v>2</v>
      </c>
      <c r="J30" s="96" t="s">
        <v>39</v>
      </c>
      <c r="K30" s="97" t="str">
        <f>'Base Case'!K30</f>
        <v>Electrical Asset repair</v>
      </c>
      <c r="L30" s="98"/>
      <c r="M30" s="98"/>
      <c r="N30" s="99"/>
      <c r="O30" s="60">
        <v>0</v>
      </c>
      <c r="P30" s="60">
        <v>0</v>
      </c>
      <c r="Q30" s="60">
        <f>'Base Case'!Q30*'Scenario D'!$I$11</f>
        <v>440000.00000000006</v>
      </c>
      <c r="R30" s="60">
        <f>'Base Case'!R30*'Scenario D'!$I$10</f>
        <v>0</v>
      </c>
      <c r="S30" s="60">
        <v>0</v>
      </c>
      <c r="T30" s="69">
        <f>'Base Case'!$T30</f>
        <v>1</v>
      </c>
      <c r="U30" s="70">
        <f t="shared" si="0"/>
        <v>440000.00000000006</v>
      </c>
      <c r="V30" s="71">
        <f t="shared" si="1"/>
        <v>440000.00000000006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</row>
    <row r="31" spans="1:57" ht="13.15" x14ac:dyDescent="0.4">
      <c r="A31" s="46"/>
      <c r="B31" s="46"/>
      <c r="C31" s="47"/>
      <c r="D31" s="48"/>
      <c r="E31" s="48"/>
      <c r="F31" s="48"/>
      <c r="G31" s="48"/>
      <c r="H31" s="48"/>
      <c r="I31" s="64">
        <f>INDEX(Inputs!$J$64:$J$66,MATCH('Scenario D'!J31,Inputs!$D$64:$D$66,0))</f>
        <v>2</v>
      </c>
      <c r="J31" s="96" t="s">
        <v>39</v>
      </c>
      <c r="K31" s="97" t="str">
        <f>'Base Case'!K31</f>
        <v>Damage to telecommunications</v>
      </c>
      <c r="L31" s="98"/>
      <c r="M31" s="98"/>
      <c r="N31" s="99"/>
      <c r="O31" s="60">
        <v>0</v>
      </c>
      <c r="P31" s="60">
        <v>0</v>
      </c>
      <c r="Q31" s="60">
        <f>'Base Case'!Q31*'Scenario D'!$I$11</f>
        <v>550000</v>
      </c>
      <c r="R31" s="60">
        <v>0</v>
      </c>
      <c r="S31" s="60">
        <f>Inputs!$K$105*$I$14</f>
        <v>0</v>
      </c>
      <c r="T31" s="69">
        <f>'Base Case'!$T31</f>
        <v>0.2</v>
      </c>
      <c r="U31" s="70">
        <f t="shared" si="0"/>
        <v>110000</v>
      </c>
      <c r="V31" s="71">
        <f t="shared" si="1"/>
        <v>110000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</row>
    <row r="32" spans="1:57" ht="13.15" x14ac:dyDescent="0.4">
      <c r="A32" s="46"/>
      <c r="B32" s="46"/>
      <c r="C32" s="47"/>
      <c r="D32" s="48"/>
      <c r="E32" s="48"/>
      <c r="F32" s="48"/>
      <c r="G32" s="48"/>
      <c r="H32" s="48"/>
      <c r="I32" s="64">
        <f>INDEX(Inputs!$J$64:$J$66,MATCH('Scenario D'!J32,Inputs!$D$64:$D$66,0))</f>
        <v>2</v>
      </c>
      <c r="J32" s="96" t="s">
        <v>39</v>
      </c>
      <c r="K32" s="97" t="str">
        <f>'Base Case'!K32</f>
        <v>[Spare]</v>
      </c>
      <c r="L32" s="98"/>
      <c r="M32" s="98"/>
      <c r="N32" s="99"/>
      <c r="O32" s="60">
        <v>0</v>
      </c>
      <c r="P32" s="60">
        <v>0</v>
      </c>
      <c r="Q32" s="60">
        <f>Inputs!$K$97*$I$11</f>
        <v>0</v>
      </c>
      <c r="R32" s="60">
        <v>0</v>
      </c>
      <c r="S32" s="60">
        <v>0</v>
      </c>
      <c r="T32" s="69">
        <f>'Base Case'!$T32</f>
        <v>0</v>
      </c>
      <c r="U32" s="70">
        <f t="shared" si="0"/>
        <v>0</v>
      </c>
      <c r="V32" s="71">
        <f t="shared" si="1"/>
        <v>0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</row>
    <row r="33" spans="1:57" ht="13.15" x14ac:dyDescent="0.4">
      <c r="A33" s="46"/>
      <c r="B33" s="46"/>
      <c r="C33" s="47"/>
      <c r="D33" s="48"/>
      <c r="E33" s="48"/>
      <c r="F33" s="48"/>
      <c r="G33" s="48"/>
      <c r="H33" s="48"/>
      <c r="I33" s="64">
        <f>INDEX(Inputs!$J$64:$J$66,MATCH('Scenario D'!J33,Inputs!$D$64:$D$66,0))</f>
        <v>2</v>
      </c>
      <c r="J33" s="96" t="s">
        <v>39</v>
      </c>
      <c r="K33" s="97" t="str">
        <f>'Base Case'!K33</f>
        <v>[Spare]</v>
      </c>
      <c r="L33" s="98"/>
      <c r="M33" s="98"/>
      <c r="N33" s="99"/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9">
        <f>'Base Case'!$T33</f>
        <v>0</v>
      </c>
      <c r="U33" s="70">
        <f t="shared" si="0"/>
        <v>0</v>
      </c>
      <c r="V33" s="71">
        <f t="shared" si="1"/>
        <v>0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</row>
    <row r="34" spans="1:57" ht="13.15" x14ac:dyDescent="0.4">
      <c r="A34" s="46"/>
      <c r="B34" s="46"/>
      <c r="C34" s="47"/>
      <c r="D34" s="48"/>
      <c r="E34" s="48"/>
      <c r="F34" s="48"/>
      <c r="G34" s="48"/>
      <c r="H34" s="48"/>
      <c r="I34" s="64">
        <f>INDEX(Inputs!$J$64:$J$66,MATCH('Scenario D'!J34,Inputs!$D$64:$D$66,0))</f>
        <v>2</v>
      </c>
      <c r="J34" s="105" t="s">
        <v>39</v>
      </c>
      <c r="K34" s="106" t="str">
        <f>'Base Case'!K34</f>
        <v>[Spare]</v>
      </c>
      <c r="L34" s="107"/>
      <c r="M34" s="107"/>
      <c r="N34" s="108"/>
      <c r="O34" s="65">
        <v>0</v>
      </c>
      <c r="P34" s="109">
        <v>0</v>
      </c>
      <c r="Q34" s="109">
        <v>0</v>
      </c>
      <c r="R34" s="109">
        <v>0</v>
      </c>
      <c r="S34" s="110">
        <v>0</v>
      </c>
      <c r="T34" s="69">
        <f>'Base Case'!$T34</f>
        <v>0</v>
      </c>
      <c r="U34" s="70">
        <f t="shared" si="0"/>
        <v>0</v>
      </c>
      <c r="V34" s="71">
        <f t="shared" si="1"/>
        <v>0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</row>
    <row r="35" spans="1:57" ht="13.15" x14ac:dyDescent="0.4">
      <c r="A35" s="46"/>
      <c r="B35" s="46"/>
      <c r="C35" s="47"/>
      <c r="D35" s="48"/>
      <c r="E35" s="48"/>
      <c r="F35" s="48"/>
      <c r="G35" s="48"/>
      <c r="H35" s="48"/>
      <c r="I35" s="64">
        <f>INDEX(Inputs!$J$64:$J$66,MATCH('Scenario D'!J35,Inputs!$D$64:$D$66,0))</f>
        <v>2</v>
      </c>
      <c r="J35" s="96" t="s">
        <v>39</v>
      </c>
      <c r="K35" s="97" t="str">
        <f>'Base Case'!K35</f>
        <v>[Spare]</v>
      </c>
      <c r="L35" s="98"/>
      <c r="M35" s="98"/>
      <c r="N35" s="99"/>
      <c r="O35" s="65">
        <v>0</v>
      </c>
      <c r="P35" s="67">
        <v>0</v>
      </c>
      <c r="Q35" s="67">
        <v>0</v>
      </c>
      <c r="R35" s="67">
        <v>0</v>
      </c>
      <c r="S35" s="68">
        <v>0</v>
      </c>
      <c r="T35" s="69">
        <f>'Base Case'!$T35</f>
        <v>0</v>
      </c>
      <c r="U35" s="70">
        <f t="shared" si="0"/>
        <v>0</v>
      </c>
      <c r="V35" s="71">
        <f t="shared" si="1"/>
        <v>0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</row>
    <row r="36" spans="1:57" ht="13.15" x14ac:dyDescent="0.4">
      <c r="A36" s="46"/>
      <c r="B36" s="46"/>
      <c r="C36" s="47"/>
      <c r="D36" s="48"/>
      <c r="E36" s="48"/>
      <c r="F36" s="48"/>
      <c r="G36" s="48"/>
      <c r="H36" s="48"/>
      <c r="I36" s="72">
        <f>INDEX(Inputs!$J$64:$J$66,MATCH('Scenario D'!J36,Inputs!$D$64:$D$66,0))</f>
        <v>2</v>
      </c>
      <c r="J36" s="100" t="s">
        <v>39</v>
      </c>
      <c r="K36" s="101" t="str">
        <f>'Base Case'!K36</f>
        <v>[Spare]</v>
      </c>
      <c r="L36" s="102"/>
      <c r="M36" s="102"/>
      <c r="N36" s="103"/>
      <c r="O36" s="73">
        <v>0</v>
      </c>
      <c r="P36" s="74">
        <v>0</v>
      </c>
      <c r="Q36" s="74">
        <v>0</v>
      </c>
      <c r="R36" s="74">
        <v>0</v>
      </c>
      <c r="S36" s="75">
        <v>0</v>
      </c>
      <c r="T36" s="117">
        <f>'Base Case'!$T36</f>
        <v>0</v>
      </c>
      <c r="U36" s="76">
        <f t="shared" si="0"/>
        <v>0</v>
      </c>
      <c r="V36" s="77">
        <f t="shared" si="1"/>
        <v>0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</row>
    <row r="37" spans="1:57" ht="13.15" x14ac:dyDescent="0.4">
      <c r="A37" s="46"/>
      <c r="B37" s="46"/>
      <c r="C37" s="47"/>
      <c r="D37" s="48"/>
      <c r="E37" s="48"/>
      <c r="F37" s="48"/>
      <c r="G37" s="48"/>
      <c r="H37" s="48"/>
      <c r="I37" s="59">
        <f>INDEX(Inputs!$J$64:$J$66,MATCH('Scenario D'!J37,Inputs!$D$64:$D$66,0))</f>
        <v>1</v>
      </c>
      <c r="J37" s="92" t="s">
        <v>38</v>
      </c>
      <c r="K37" s="93" t="str">
        <f>'Base Case'!K37</f>
        <v>Safety consequence - pulling eyes</v>
      </c>
      <c r="L37" s="94"/>
      <c r="M37" s="94"/>
      <c r="N37" s="95"/>
      <c r="O37" s="60">
        <f>O103</f>
        <v>0</v>
      </c>
      <c r="P37" s="60">
        <f>'Base Case'!P37</f>
        <v>500000</v>
      </c>
      <c r="Q37" s="60">
        <f>'Base Case'!Q37*'Scenario D'!$I$11</f>
        <v>0</v>
      </c>
      <c r="R37" s="60">
        <f>'Base Case'!R37*'Scenario D'!$I$10</f>
        <v>0</v>
      </c>
      <c r="S37" s="60">
        <v>0</v>
      </c>
      <c r="T37" s="116">
        <f>'Base Case'!$T37</f>
        <v>0.5</v>
      </c>
      <c r="U37" s="60">
        <f t="shared" si="0"/>
        <v>250000</v>
      </c>
      <c r="V37" s="63">
        <f t="shared" si="1"/>
        <v>250000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</row>
    <row r="38" spans="1:57" ht="13.15" x14ac:dyDescent="0.4">
      <c r="A38" s="46"/>
      <c r="B38" s="46"/>
      <c r="C38" s="47"/>
      <c r="D38" s="48"/>
      <c r="E38" s="48"/>
      <c r="F38" s="48"/>
      <c r="G38" s="48"/>
      <c r="H38" s="48"/>
      <c r="I38" s="72">
        <f>INDEX(Inputs!$J$64:$J$66,MATCH('Scenario D'!J38,Inputs!$D$64:$D$66,0))</f>
        <v>1</v>
      </c>
      <c r="J38" s="100" t="s">
        <v>38</v>
      </c>
      <c r="K38" s="101" t="str">
        <f>'Base Case'!K38</f>
        <v>Pit section repair cost</v>
      </c>
      <c r="L38" s="102"/>
      <c r="M38" s="102"/>
      <c r="N38" s="103"/>
      <c r="O38" s="76">
        <v>0</v>
      </c>
      <c r="P38" s="76">
        <v>0</v>
      </c>
      <c r="Q38" s="76">
        <f>'Base Case'!Q38*'Scenario D'!$I$11</f>
        <v>0</v>
      </c>
      <c r="R38" s="76">
        <f>'Base Case'!R38*'Scenario D'!$I$10</f>
        <v>45000</v>
      </c>
      <c r="S38" s="76">
        <v>0</v>
      </c>
      <c r="T38" s="117">
        <f>'Base Case'!$T38</f>
        <v>1</v>
      </c>
      <c r="U38" s="76">
        <f t="shared" si="0"/>
        <v>45000</v>
      </c>
      <c r="V38" s="77">
        <f t="shared" si="1"/>
        <v>45000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</row>
    <row r="39" spans="1:57" ht="13.15" x14ac:dyDescent="0.4">
      <c r="A39" s="46"/>
      <c r="B39" s="46"/>
      <c r="C39" s="47"/>
      <c r="D39" s="48"/>
      <c r="E39" s="48"/>
      <c r="F39" s="48"/>
      <c r="G39" s="48"/>
      <c r="H39" s="48"/>
      <c r="I39" s="59">
        <f>INDEX(Inputs!$J$64:$J$66,MATCH('Scenario D'!J39,Inputs!$D$64:$D$66,0))</f>
        <v>1</v>
      </c>
      <c r="J39" s="92" t="s">
        <v>38</v>
      </c>
      <c r="K39" s="93" t="str">
        <f>'Base Case'!K39</f>
        <v>Safety consequence - ladder supports</v>
      </c>
      <c r="L39" s="94"/>
      <c r="M39" s="94"/>
      <c r="N39" s="95"/>
      <c r="O39" s="60">
        <v>0</v>
      </c>
      <c r="P39" s="60">
        <f>'Base Case'!P39</f>
        <v>500000</v>
      </c>
      <c r="Q39" s="60">
        <f>'Base Case'!Q39*'Scenario D'!$I$11</f>
        <v>0</v>
      </c>
      <c r="R39" s="60">
        <f>'Base Case'!R39*'Scenario D'!$I$10</f>
        <v>0</v>
      </c>
      <c r="S39" s="60">
        <v>0</v>
      </c>
      <c r="T39" s="116">
        <f>'Base Case'!$T39</f>
        <v>0.8</v>
      </c>
      <c r="U39" s="60">
        <f t="shared" si="0"/>
        <v>400000</v>
      </c>
      <c r="V39" s="63">
        <f t="shared" si="1"/>
        <v>400000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</row>
    <row r="40" spans="1:57" ht="13.15" x14ac:dyDescent="0.4">
      <c r="A40" s="46"/>
      <c r="B40" s="46"/>
      <c r="C40" s="47"/>
      <c r="D40" s="48"/>
      <c r="E40" s="48"/>
      <c r="F40" s="48"/>
      <c r="G40" s="48"/>
      <c r="H40" s="48"/>
      <c r="I40" s="64">
        <f>INDEX(Inputs!$J$64:$J$66,MATCH('Scenario D'!J40,Inputs!$D$64:$D$66,0))</f>
        <v>1</v>
      </c>
      <c r="J40" s="96" t="s">
        <v>38</v>
      </c>
      <c r="K40" s="97" t="str">
        <f>'Base Case'!K40</f>
        <v>Pit section repair cost</v>
      </c>
      <c r="L40" s="98"/>
      <c r="M40" s="98"/>
      <c r="N40" s="99"/>
      <c r="O40" s="60">
        <v>0</v>
      </c>
      <c r="P40" s="60">
        <v>0</v>
      </c>
      <c r="Q40" s="60">
        <f>'Base Case'!Q40*'Scenario D'!$I$11</f>
        <v>0</v>
      </c>
      <c r="R40" s="60">
        <f>'Base Case'!R40*'Scenario D'!$I$10</f>
        <v>45000</v>
      </c>
      <c r="S40" s="60">
        <v>0</v>
      </c>
      <c r="T40" s="69">
        <f>'Base Case'!$T40</f>
        <v>1</v>
      </c>
      <c r="U40" s="70">
        <f t="shared" si="0"/>
        <v>45000</v>
      </c>
      <c r="V40" s="71">
        <f t="shared" si="1"/>
        <v>45000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</row>
    <row r="41" spans="1:57" ht="13.15" x14ac:dyDescent="0.4">
      <c r="A41" s="46"/>
      <c r="B41" s="46"/>
      <c r="C41" s="47"/>
      <c r="D41" s="48"/>
      <c r="E41" s="48"/>
      <c r="F41" s="48"/>
      <c r="G41" s="48"/>
      <c r="H41" s="48"/>
      <c r="I41" s="64">
        <f>INDEX(Inputs!$J$64:$J$66,MATCH('Scenario D'!J41,Inputs!$D$64:$D$66,0))</f>
        <v>1</v>
      </c>
      <c r="J41" s="96" t="s">
        <v>38</v>
      </c>
      <c r="K41" s="97" t="str">
        <f>'Base Case'!K41</f>
        <v>[Spare]</v>
      </c>
      <c r="L41" s="98"/>
      <c r="M41" s="98"/>
      <c r="N41" s="99"/>
      <c r="O41" s="60">
        <v>0</v>
      </c>
      <c r="P41" s="60">
        <v>0</v>
      </c>
      <c r="Q41" s="60">
        <f>'Base Case'!Q41*'Scenario D'!$I$11</f>
        <v>0</v>
      </c>
      <c r="R41" s="60">
        <v>0</v>
      </c>
      <c r="S41" s="60">
        <f>Inputs!$J$105*$I$14</f>
        <v>0</v>
      </c>
      <c r="T41" s="69">
        <f>'Base Case'!$T41</f>
        <v>0</v>
      </c>
      <c r="U41" s="70">
        <f t="shared" si="0"/>
        <v>0</v>
      </c>
      <c r="V41" s="71">
        <f t="shared" si="1"/>
        <v>0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</row>
    <row r="42" spans="1:57" ht="13.15" x14ac:dyDescent="0.4">
      <c r="A42" s="46"/>
      <c r="B42" s="46"/>
      <c r="C42" s="47"/>
      <c r="D42" s="48"/>
      <c r="E42" s="48"/>
      <c r="F42" s="48"/>
      <c r="G42" s="48"/>
      <c r="H42" s="48"/>
      <c r="I42" s="64">
        <f>INDEX(Inputs!$J$64:$J$66,MATCH('Scenario D'!J42,Inputs!$D$64:$D$66,0))</f>
        <v>1</v>
      </c>
      <c r="J42" s="96" t="s">
        <v>38</v>
      </c>
      <c r="K42" s="97" t="str">
        <f>'Base Case'!K42</f>
        <v>[Spare]</v>
      </c>
      <c r="L42" s="98"/>
      <c r="M42" s="98"/>
      <c r="N42" s="99"/>
      <c r="O42" s="60">
        <v>0</v>
      </c>
      <c r="P42" s="60">
        <v>0</v>
      </c>
      <c r="Q42" s="60">
        <f>Inputs!$K$97*$I$11</f>
        <v>0</v>
      </c>
      <c r="R42" s="60">
        <v>0</v>
      </c>
      <c r="S42" s="60">
        <v>0</v>
      </c>
      <c r="T42" s="69">
        <f>'Base Case'!$T42</f>
        <v>0</v>
      </c>
      <c r="U42" s="70">
        <f t="shared" si="0"/>
        <v>0</v>
      </c>
      <c r="V42" s="71">
        <f t="shared" si="1"/>
        <v>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</row>
    <row r="43" spans="1:57" ht="13.15" x14ac:dyDescent="0.4">
      <c r="A43" s="46"/>
      <c r="B43" s="46"/>
      <c r="C43" s="47"/>
      <c r="D43" s="48"/>
      <c r="E43" s="48"/>
      <c r="F43" s="48"/>
      <c r="G43" s="48"/>
      <c r="H43" s="48"/>
      <c r="I43" s="64">
        <f>INDEX(Inputs!$J$64:$J$66,MATCH('Scenario D'!J43,Inputs!$D$64:$D$66,0))</f>
        <v>1</v>
      </c>
      <c r="J43" s="96" t="s">
        <v>38</v>
      </c>
      <c r="K43" s="97" t="str">
        <f>'Base Case'!K43</f>
        <v>[Spare]</v>
      </c>
      <c r="L43" s="98"/>
      <c r="M43" s="98"/>
      <c r="N43" s="99"/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9">
        <f>'Base Case'!$T43</f>
        <v>0</v>
      </c>
      <c r="U43" s="70">
        <f t="shared" si="0"/>
        <v>0</v>
      </c>
      <c r="V43" s="71">
        <f t="shared" si="1"/>
        <v>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</row>
    <row r="44" spans="1:57" ht="13.15" x14ac:dyDescent="0.4">
      <c r="A44" s="46"/>
      <c r="B44" s="46"/>
      <c r="C44" s="47"/>
      <c r="D44" s="48"/>
      <c r="E44" s="48"/>
      <c r="F44" s="48"/>
      <c r="G44" s="48"/>
      <c r="H44" s="48"/>
      <c r="I44" s="64">
        <f>INDEX(Inputs!$J$64:$J$66,MATCH('Scenario D'!J44,Inputs!$D$64:$D$66,0))</f>
        <v>1</v>
      </c>
      <c r="J44" s="105" t="s">
        <v>38</v>
      </c>
      <c r="K44" s="106" t="str">
        <f>'Base Case'!K44</f>
        <v>[Spare]</v>
      </c>
      <c r="L44" s="107"/>
      <c r="M44" s="107"/>
      <c r="N44" s="108"/>
      <c r="O44" s="65">
        <v>0</v>
      </c>
      <c r="P44" s="109">
        <v>0</v>
      </c>
      <c r="Q44" s="109">
        <v>0</v>
      </c>
      <c r="R44" s="109">
        <v>0</v>
      </c>
      <c r="S44" s="110">
        <v>0</v>
      </c>
      <c r="T44" s="69">
        <f>'Base Case'!$T44</f>
        <v>0</v>
      </c>
      <c r="U44" s="70">
        <f t="shared" si="0"/>
        <v>0</v>
      </c>
      <c r="V44" s="71">
        <f t="shared" si="1"/>
        <v>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</row>
    <row r="45" spans="1:57" ht="13.15" x14ac:dyDescent="0.4">
      <c r="A45" s="46"/>
      <c r="B45" s="46"/>
      <c r="C45" s="47"/>
      <c r="D45" s="48"/>
      <c r="E45" s="48"/>
      <c r="F45" s="48"/>
      <c r="G45" s="48"/>
      <c r="H45" s="48"/>
      <c r="I45" s="64">
        <f>INDEX(Inputs!$J$64:$J$66,MATCH('Scenario D'!J45,Inputs!$D$64:$D$66,0))</f>
        <v>1</v>
      </c>
      <c r="J45" s="96" t="s">
        <v>38</v>
      </c>
      <c r="K45" s="97" t="str">
        <f>'Base Case'!K45</f>
        <v>[Spare]</v>
      </c>
      <c r="L45" s="98"/>
      <c r="M45" s="98"/>
      <c r="N45" s="99"/>
      <c r="O45" s="65">
        <v>0</v>
      </c>
      <c r="P45" s="67">
        <v>0</v>
      </c>
      <c r="Q45" s="67">
        <v>0</v>
      </c>
      <c r="R45" s="67">
        <v>0</v>
      </c>
      <c r="S45" s="68">
        <v>0</v>
      </c>
      <c r="T45" s="69">
        <f>'Base Case'!$T45</f>
        <v>0</v>
      </c>
      <c r="U45" s="70">
        <f t="shared" si="0"/>
        <v>0</v>
      </c>
      <c r="V45" s="71">
        <f t="shared" si="1"/>
        <v>0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</row>
    <row r="46" spans="1:57" ht="13.15" x14ac:dyDescent="0.4">
      <c r="A46" s="46"/>
      <c r="B46" s="46"/>
      <c r="C46" s="47"/>
      <c r="D46" s="48"/>
      <c r="E46" s="48"/>
      <c r="F46" s="48"/>
      <c r="G46" s="48"/>
      <c r="H46" s="48"/>
      <c r="I46" s="72">
        <f>INDEX(Inputs!$J$64:$J$66,MATCH('Scenario D'!J46,Inputs!$D$64:$D$66,0))</f>
        <v>1</v>
      </c>
      <c r="J46" s="100" t="s">
        <v>38</v>
      </c>
      <c r="K46" s="101" t="str">
        <f>'Base Case'!K46</f>
        <v>[Spare]</v>
      </c>
      <c r="L46" s="102"/>
      <c r="M46" s="102"/>
      <c r="N46" s="103"/>
      <c r="O46" s="73">
        <v>0</v>
      </c>
      <c r="P46" s="74">
        <v>0</v>
      </c>
      <c r="Q46" s="74">
        <v>0</v>
      </c>
      <c r="R46" s="74">
        <v>0</v>
      </c>
      <c r="S46" s="75">
        <v>0</v>
      </c>
      <c r="T46" s="117">
        <f>'Base Case'!$T46</f>
        <v>0</v>
      </c>
      <c r="U46" s="76">
        <f t="shared" si="0"/>
        <v>0</v>
      </c>
      <c r="V46" s="77">
        <f t="shared" si="1"/>
        <v>0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</row>
    <row r="47" spans="1:57" ht="13.15" x14ac:dyDescent="0.4">
      <c r="A47" s="46"/>
      <c r="B47" s="46"/>
      <c r="C47" s="47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</row>
    <row r="48" spans="1:57" ht="13.15" x14ac:dyDescent="0.4">
      <c r="A48" s="46"/>
      <c r="B48" s="46"/>
      <c r="C48" s="47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</row>
    <row r="49" spans="1:57" ht="13.15" x14ac:dyDescent="0.4">
      <c r="A49" s="46"/>
      <c r="B49" s="46"/>
      <c r="C49" s="47"/>
      <c r="D49" s="48"/>
      <c r="E49" s="48"/>
      <c r="F49" s="48"/>
      <c r="G49" s="48"/>
      <c r="H49" s="48"/>
      <c r="I49" s="78">
        <f>INDEX(Inputs!$J$64:$J$66,MATCH('Scenario D'!J49,Inputs!$D$64:$D$66,0))</f>
        <v>1</v>
      </c>
      <c r="J49" s="79" t="s">
        <v>38</v>
      </c>
      <c r="K49" s="48"/>
      <c r="L49" s="48"/>
      <c r="M49" s="48"/>
      <c r="N49" s="48"/>
      <c r="O49" s="66">
        <f>SUMIF($I$17:$I$46,$I49,O$17:O$46)</f>
        <v>0</v>
      </c>
      <c r="P49" s="66">
        <f t="shared" ref="P49:V49" si="2">SUMIF($I$17:$I$46,$I49,P$17:P$46)</f>
        <v>1000000</v>
      </c>
      <c r="Q49" s="66">
        <f t="shared" si="2"/>
        <v>0</v>
      </c>
      <c r="R49" s="66">
        <f t="shared" si="2"/>
        <v>90000</v>
      </c>
      <c r="S49" s="66">
        <f t="shared" si="2"/>
        <v>0</v>
      </c>
      <c r="T49" s="53">
        <f>U49/SUM(O49:S49)</f>
        <v>0.67889908256880738</v>
      </c>
      <c r="U49" s="66">
        <f t="shared" si="2"/>
        <v>740000</v>
      </c>
      <c r="V49" s="66">
        <f t="shared" si="2"/>
        <v>740000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</row>
    <row r="50" spans="1:57" ht="13.15" x14ac:dyDescent="0.4">
      <c r="A50" s="46"/>
      <c r="B50" s="46"/>
      <c r="C50" s="47"/>
      <c r="D50" s="48"/>
      <c r="E50" s="48"/>
      <c r="F50" s="48"/>
      <c r="G50" s="48"/>
      <c r="H50" s="48"/>
      <c r="I50" s="78">
        <f>INDEX(Inputs!$J$64:$J$66,MATCH('Scenario D'!J50,Inputs!$D$64:$D$66,0))</f>
        <v>2</v>
      </c>
      <c r="J50" s="79" t="s">
        <v>39</v>
      </c>
      <c r="K50" s="48"/>
      <c r="L50" s="48"/>
      <c r="M50" s="48"/>
      <c r="N50" s="48"/>
      <c r="O50" s="66">
        <f t="shared" ref="O50:V51" si="3">SUMIF($I$17:$I$46,$I50,O$17:O$46)</f>
        <v>550000</v>
      </c>
      <c r="P50" s="66">
        <f t="shared" si="3"/>
        <v>14280000.000000002</v>
      </c>
      <c r="Q50" s="66">
        <f t="shared" si="3"/>
        <v>990000</v>
      </c>
      <c r="R50" s="66">
        <f t="shared" si="3"/>
        <v>450000</v>
      </c>
      <c r="S50" s="66">
        <f t="shared" si="3"/>
        <v>0</v>
      </c>
      <c r="T50" s="53">
        <f t="shared" ref="T50:T51" si="4">U50/SUM(O50:S50)</f>
        <v>0.27080516287645978</v>
      </c>
      <c r="U50" s="66">
        <f t="shared" si="3"/>
        <v>4406000.0000000009</v>
      </c>
      <c r="V50" s="66">
        <f t="shared" si="3"/>
        <v>3856000.0000000005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</row>
    <row r="51" spans="1:57" ht="13.15" x14ac:dyDescent="0.4">
      <c r="A51" s="46"/>
      <c r="B51" s="46"/>
      <c r="C51" s="47"/>
      <c r="D51" s="48"/>
      <c r="E51" s="48"/>
      <c r="F51" s="48"/>
      <c r="G51" s="48"/>
      <c r="H51" s="48"/>
      <c r="I51" s="78">
        <f>INDEX(Inputs!$J$64:$J$66,MATCH('Scenario D'!J51,Inputs!$D$64:$D$66,0))</f>
        <v>3</v>
      </c>
      <c r="J51" s="79" t="s">
        <v>40</v>
      </c>
      <c r="K51" s="80"/>
      <c r="L51" s="80"/>
      <c r="M51" s="80"/>
      <c r="N51" s="80"/>
      <c r="O51" s="66">
        <f t="shared" si="3"/>
        <v>550000</v>
      </c>
      <c r="P51" s="66">
        <f t="shared" si="3"/>
        <v>14280000.000000002</v>
      </c>
      <c r="Q51" s="66">
        <f t="shared" si="3"/>
        <v>990000</v>
      </c>
      <c r="R51" s="66">
        <f t="shared" si="3"/>
        <v>450000</v>
      </c>
      <c r="S51" s="66">
        <f t="shared" si="3"/>
        <v>0</v>
      </c>
      <c r="T51" s="53">
        <f t="shared" si="4"/>
        <v>0.27080516287645978</v>
      </c>
      <c r="U51" s="66">
        <f t="shared" si="3"/>
        <v>4406000.0000000009</v>
      </c>
      <c r="V51" s="66">
        <f t="shared" si="3"/>
        <v>3856000.0000000005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</row>
    <row r="52" spans="1:57" ht="13.15" x14ac:dyDescent="0.4">
      <c r="A52" s="46"/>
      <c r="B52" s="46"/>
      <c r="C52" s="47"/>
      <c r="D52" s="48"/>
      <c r="E52" s="48"/>
      <c r="F52" s="48"/>
      <c r="G52" s="48"/>
      <c r="H52" s="48"/>
      <c r="I52" s="80" t="s">
        <v>161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1">
        <f>SUM(U49:U51)</f>
        <v>9552000.0000000019</v>
      </c>
      <c r="V52" s="81">
        <f>SUM(V49:V51)</f>
        <v>8452000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</row>
    <row r="53" spans="1:57" x14ac:dyDescent="0.2">
      <c r="A53" s="46"/>
      <c r="B53" s="46"/>
      <c r="C53" s="47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</row>
    <row r="54" spans="1:57" x14ac:dyDescent="0.2">
      <c r="A54" s="49" t="str">
        <f>C8&amp;" "&amp;I8&amp;": PoE, Load and VCR assumptions"</f>
        <v>Scenario D: PoE, Load and VCR assumptions</v>
      </c>
      <c r="B54" s="49"/>
      <c r="C54" s="50"/>
      <c r="D54" s="51"/>
      <c r="E54" s="51"/>
      <c r="F54" s="51"/>
      <c r="G54" s="51"/>
      <c r="H54" s="51"/>
      <c r="I54" s="51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</row>
    <row r="55" spans="1:57" x14ac:dyDescent="0.2">
      <c r="A55" s="46"/>
      <c r="B55" s="46"/>
      <c r="C55" s="47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</row>
    <row r="56" spans="1:57" x14ac:dyDescent="0.2">
      <c r="A56" s="46"/>
      <c r="B56" s="46" t="s">
        <v>50</v>
      </c>
      <c r="C56" s="47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</row>
    <row r="57" spans="1:57" x14ac:dyDescent="0.2">
      <c r="A57" s="46"/>
      <c r="B57" s="46"/>
      <c r="C57" s="47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</row>
    <row r="58" spans="1:57" x14ac:dyDescent="0.2">
      <c r="A58" s="46"/>
      <c r="B58" s="46"/>
      <c r="C58" s="47" t="s">
        <v>51</v>
      </c>
      <c r="D58" s="48"/>
      <c r="E58" s="48"/>
      <c r="F58" s="48"/>
      <c r="G58" s="48"/>
      <c r="H58" s="48"/>
      <c r="I58" s="48"/>
      <c r="J58" s="82">
        <f>Inputs!J79</f>
        <v>1</v>
      </c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</row>
    <row r="59" spans="1:57" x14ac:dyDescent="0.2">
      <c r="A59" s="46"/>
      <c r="B59" s="46"/>
      <c r="C59" s="47" t="s">
        <v>52</v>
      </c>
      <c r="D59" s="48"/>
      <c r="E59" s="48"/>
      <c r="F59" s="48"/>
      <c r="G59" s="48"/>
      <c r="H59" s="48"/>
      <c r="I59" s="48"/>
      <c r="J59" s="66">
        <f>Inputs!J80</f>
        <v>0</v>
      </c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</row>
    <row r="60" spans="1:57" x14ac:dyDescent="0.2">
      <c r="A60" s="46"/>
      <c r="B60" s="46"/>
      <c r="C60" s="47"/>
      <c r="D60" s="48" t="s">
        <v>53</v>
      </c>
      <c r="E60" s="48"/>
      <c r="F60" s="48"/>
      <c r="G60" s="48"/>
      <c r="H60" s="48"/>
      <c r="I60" s="48"/>
      <c r="J60" s="66">
        <f>Inputs!J81</f>
        <v>0</v>
      </c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</row>
    <row r="61" spans="1:57" x14ac:dyDescent="0.2">
      <c r="A61" s="46"/>
      <c r="B61" s="46"/>
      <c r="C61" s="47"/>
      <c r="D61" s="48" t="s">
        <v>54</v>
      </c>
      <c r="E61" s="48"/>
      <c r="F61" s="48"/>
      <c r="G61" s="48"/>
      <c r="H61" s="48"/>
      <c r="I61" s="48"/>
      <c r="J61" s="66">
        <f>Inputs!J82</f>
        <v>0</v>
      </c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</row>
    <row r="62" spans="1:57" x14ac:dyDescent="0.2">
      <c r="A62" s="46"/>
      <c r="B62" s="46"/>
      <c r="C62" s="47"/>
      <c r="D62" s="48" t="s">
        <v>55</v>
      </c>
      <c r="E62" s="48"/>
      <c r="F62" s="48"/>
      <c r="G62" s="48"/>
      <c r="H62" s="48"/>
      <c r="I62" s="48"/>
      <c r="J62" s="66">
        <f>Inputs!J83</f>
        <v>0</v>
      </c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</row>
    <row r="63" spans="1:57" x14ac:dyDescent="0.2">
      <c r="A63" s="46"/>
      <c r="B63" s="46"/>
      <c r="C63" s="47"/>
      <c r="D63" s="48" t="s">
        <v>56</v>
      </c>
      <c r="E63" s="48"/>
      <c r="F63" s="48"/>
      <c r="G63" s="48"/>
      <c r="H63" s="48"/>
      <c r="I63" s="48"/>
      <c r="J63" s="66">
        <f>Inputs!J84</f>
        <v>0</v>
      </c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</row>
    <row r="64" spans="1:57" x14ac:dyDescent="0.2">
      <c r="A64" s="46"/>
      <c r="B64" s="46"/>
      <c r="C64" s="47"/>
      <c r="D64" s="80" t="s">
        <v>57</v>
      </c>
      <c r="E64" s="80"/>
      <c r="F64" s="80"/>
      <c r="G64" s="80"/>
      <c r="H64" s="80"/>
      <c r="I64" s="80"/>
      <c r="J64" s="66">
        <f>Inputs!J85</f>
        <v>0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</row>
    <row r="65" spans="1:57" x14ac:dyDescent="0.2">
      <c r="A65" s="46"/>
      <c r="B65" s="46"/>
      <c r="C65" s="47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</row>
    <row r="66" spans="1:57" x14ac:dyDescent="0.2">
      <c r="A66" s="46"/>
      <c r="B66" s="46" t="str">
        <f>Inputs!B182</f>
        <v>Probability of exceedance (PoE) forecast, Mega Volt Ampere (MVA)</v>
      </c>
      <c r="C66" s="47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</row>
    <row r="67" spans="1:57" x14ac:dyDescent="0.2">
      <c r="A67" s="46"/>
      <c r="B67" s="46"/>
      <c r="C67" s="47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x14ac:dyDescent="0.2">
      <c r="A68" s="46"/>
      <c r="B68" s="46"/>
      <c r="C68" s="47" t="str">
        <f>Inputs!C184</f>
        <v>PoE forecast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</row>
    <row r="69" spans="1:57" x14ac:dyDescent="0.2">
      <c r="A69" s="46"/>
      <c r="B69" s="46"/>
      <c r="C69" s="47"/>
      <c r="D69" s="48" t="str">
        <f>Inputs!D185</f>
        <v>10% PoE forecast, MVA</v>
      </c>
      <c r="E69" s="48"/>
      <c r="F69" s="48"/>
      <c r="G69" s="48"/>
      <c r="H69" s="48"/>
      <c r="I69" s="48"/>
      <c r="J69" s="83">
        <f>Inputs!J185</f>
        <v>0.1</v>
      </c>
      <c r="K69" s="48"/>
      <c r="L69" s="48"/>
      <c r="M69" s="48"/>
      <c r="N69" s="48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</row>
    <row r="70" spans="1:57" x14ac:dyDescent="0.2">
      <c r="A70" s="46"/>
      <c r="B70" s="46"/>
      <c r="C70" s="47"/>
      <c r="D70" s="80" t="str">
        <f>Inputs!D186</f>
        <v>50% PoE forecast, MVA</v>
      </c>
      <c r="E70" s="80"/>
      <c r="F70" s="80"/>
      <c r="G70" s="80"/>
      <c r="H70" s="80"/>
      <c r="I70" s="80"/>
      <c r="J70" s="83">
        <f>Inputs!J186</f>
        <v>0.5</v>
      </c>
      <c r="K70" s="80"/>
      <c r="L70" s="80"/>
      <c r="M70" s="80"/>
      <c r="N70" s="8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</row>
    <row r="71" spans="1:57" x14ac:dyDescent="0.2">
      <c r="A71" s="46"/>
      <c r="B71" s="46"/>
      <c r="C71" s="47"/>
      <c r="D71" s="48" t="str">
        <f>Inputs!D187</f>
        <v>Selected</v>
      </c>
      <c r="E71" s="48"/>
      <c r="F71" s="48"/>
      <c r="G71" s="48"/>
      <c r="H71" s="48"/>
      <c r="I71" s="48"/>
      <c r="J71" s="84">
        <f>Inputs!J187</f>
        <v>0.7</v>
      </c>
      <c r="K71" s="48"/>
      <c r="L71" s="48"/>
      <c r="M71" s="48"/>
      <c r="N71" s="48"/>
      <c r="O71" s="66">
        <f>Inputs!O187*$I$12</f>
        <v>0</v>
      </c>
      <c r="P71" s="66">
        <f>Inputs!P187*$I$12</f>
        <v>0</v>
      </c>
      <c r="Q71" s="66">
        <f>Inputs!Q187*$I$12</f>
        <v>0</v>
      </c>
      <c r="R71" s="66">
        <f>Inputs!R187*$I$12</f>
        <v>0</v>
      </c>
      <c r="S71" s="66">
        <f>Inputs!S187*$I$12</f>
        <v>0</v>
      </c>
      <c r="T71" s="66">
        <f>Inputs!T187*$I$12</f>
        <v>0</v>
      </c>
      <c r="U71" s="66">
        <f>Inputs!U187*$I$12</f>
        <v>0</v>
      </c>
      <c r="V71" s="66">
        <f>Inputs!V187*$I$12</f>
        <v>0</v>
      </c>
      <c r="W71" s="66">
        <f>Inputs!W187*$I$12</f>
        <v>0</v>
      </c>
      <c r="X71" s="66">
        <f>Inputs!X187*$I$12</f>
        <v>0</v>
      </c>
      <c r="Y71" s="66">
        <f>Inputs!Y187*$I$12</f>
        <v>0</v>
      </c>
      <c r="Z71" s="66">
        <f>Inputs!Z187*$I$12</f>
        <v>0</v>
      </c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</row>
    <row r="72" spans="1:57" x14ac:dyDescent="0.2">
      <c r="A72" s="46"/>
      <c r="B72" s="46"/>
      <c r="C72" s="47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</row>
    <row r="73" spans="1:57" x14ac:dyDescent="0.2">
      <c r="A73" s="46"/>
      <c r="B73" s="46" t="str">
        <f>Inputs!B189</f>
        <v>Load at risk</v>
      </c>
      <c r="C73" s="47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</row>
    <row r="74" spans="1:57" x14ac:dyDescent="0.2">
      <c r="A74" s="46"/>
      <c r="B74" s="46"/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</row>
    <row r="75" spans="1:57" x14ac:dyDescent="0.2">
      <c r="A75" s="46"/>
      <c r="B75" s="46"/>
      <c r="C75" s="47" t="str">
        <f>Inputs!C191</f>
        <v>Selected profile, MVA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</row>
    <row r="76" spans="1:57" x14ac:dyDescent="0.2">
      <c r="A76" s="46"/>
      <c r="B76" s="46"/>
      <c r="C76" s="47"/>
      <c r="D76" s="48" t="s">
        <v>141</v>
      </c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</row>
    <row r="77" spans="1:57" x14ac:dyDescent="0.2">
      <c r="A77" s="46"/>
      <c r="B77" s="46"/>
      <c r="C77" s="47"/>
      <c r="D77" s="48" t="s">
        <v>142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</row>
    <row r="78" spans="1:57" x14ac:dyDescent="0.2">
      <c r="A78" s="46"/>
      <c r="B78" s="46"/>
      <c r="C78" s="47"/>
      <c r="D78" s="48" t="s">
        <v>143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</row>
    <row r="79" spans="1:57" x14ac:dyDescent="0.2">
      <c r="A79" s="46"/>
      <c r="B79" s="46"/>
      <c r="C79" s="47"/>
      <c r="D79" s="48" t="s">
        <v>144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</row>
    <row r="80" spans="1:57" x14ac:dyDescent="0.2">
      <c r="A80" s="46"/>
      <c r="B80" s="46"/>
      <c r="C80" s="47"/>
      <c r="D80" s="80" t="s">
        <v>145</v>
      </c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</row>
    <row r="81" spans="1:57" x14ac:dyDescent="0.2">
      <c r="A81" s="46"/>
      <c r="B81" s="46"/>
      <c r="C81" s="47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</row>
    <row r="82" spans="1:57" x14ac:dyDescent="0.2">
      <c r="A82" s="46"/>
      <c r="B82" s="46" t="s">
        <v>162</v>
      </c>
      <c r="C82" s="47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</row>
    <row r="83" spans="1:57" x14ac:dyDescent="0.2">
      <c r="A83" s="46"/>
      <c r="B83" s="46"/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</row>
    <row r="84" spans="1:57" x14ac:dyDescent="0.2">
      <c r="A84" s="46"/>
      <c r="B84" s="46"/>
      <c r="C84" s="47" t="s">
        <v>163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</row>
    <row r="85" spans="1:57" x14ac:dyDescent="0.2">
      <c r="A85" s="46"/>
      <c r="B85" s="46"/>
      <c r="C85" s="47"/>
      <c r="D85" s="48"/>
      <c r="E85" s="48" t="s">
        <v>164</v>
      </c>
      <c r="F85" s="48"/>
      <c r="G85" s="48"/>
      <c r="H85" s="48"/>
      <c r="I85" s="48"/>
      <c r="J85" s="48"/>
      <c r="K85" s="48"/>
      <c r="L85" s="48"/>
      <c r="M85" s="48"/>
      <c r="N85" s="48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</row>
    <row r="86" spans="1:57" x14ac:dyDescent="0.2">
      <c r="A86" s="46"/>
      <c r="B86" s="46"/>
      <c r="C86" s="47"/>
      <c r="D86" s="48"/>
      <c r="E86" s="80" t="s">
        <v>165</v>
      </c>
      <c r="F86" s="80"/>
      <c r="G86" s="80"/>
      <c r="H86" s="80"/>
      <c r="I86" s="80"/>
      <c r="J86" s="80"/>
      <c r="K86" s="80"/>
      <c r="L86" s="80"/>
      <c r="M86" s="80"/>
      <c r="N86" s="8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</row>
    <row r="87" spans="1:57" x14ac:dyDescent="0.2">
      <c r="A87" s="46"/>
      <c r="B87" s="46"/>
      <c r="C87" s="47"/>
      <c r="D87" s="85" t="str">
        <f>D76</f>
        <v>N</v>
      </c>
      <c r="E87" s="85" t="s">
        <v>163</v>
      </c>
      <c r="F87" s="85"/>
      <c r="G87" s="85"/>
      <c r="H87" s="85"/>
      <c r="I87" s="85"/>
      <c r="J87" s="85"/>
      <c r="K87" s="85"/>
      <c r="L87" s="85"/>
      <c r="M87" s="85"/>
      <c r="N87" s="85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</row>
    <row r="88" spans="1:57" x14ac:dyDescent="0.2">
      <c r="A88" s="46"/>
      <c r="B88" s="46"/>
      <c r="C88" s="47"/>
      <c r="D88" s="48"/>
      <c r="E88" s="48" t="str">
        <f t="shared" ref="E88:E99" si="5">E85</f>
        <v>Unserved energy day 1</v>
      </c>
      <c r="F88" s="48"/>
      <c r="G88" s="48"/>
      <c r="H88" s="48"/>
      <c r="I88" s="48"/>
      <c r="J88" s="48"/>
      <c r="K88" s="48"/>
      <c r="L88" s="48"/>
      <c r="M88" s="48"/>
      <c r="N88" s="48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</row>
    <row r="89" spans="1:57" x14ac:dyDescent="0.2">
      <c r="A89" s="46"/>
      <c r="B89" s="46"/>
      <c r="C89" s="47"/>
      <c r="D89" s="48"/>
      <c r="E89" s="80" t="str">
        <f t="shared" si="5"/>
        <v>Unserved energy day 2</v>
      </c>
      <c r="F89" s="80"/>
      <c r="G89" s="80"/>
      <c r="H89" s="80"/>
      <c r="I89" s="80"/>
      <c r="J89" s="80"/>
      <c r="K89" s="80"/>
      <c r="L89" s="80"/>
      <c r="M89" s="80"/>
      <c r="N89" s="8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</row>
    <row r="90" spans="1:57" x14ac:dyDescent="0.2">
      <c r="A90" s="46"/>
      <c r="B90" s="46"/>
      <c r="C90" s="47"/>
      <c r="D90" s="85" t="str">
        <f>D77</f>
        <v>N-1</v>
      </c>
      <c r="E90" s="85" t="str">
        <f t="shared" si="5"/>
        <v>Average load at risk (pu)</v>
      </c>
      <c r="F90" s="85"/>
      <c r="G90" s="85"/>
      <c r="H90" s="85"/>
      <c r="I90" s="85"/>
      <c r="J90" s="85"/>
      <c r="K90" s="85"/>
      <c r="L90" s="85"/>
      <c r="M90" s="85"/>
      <c r="N90" s="85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</row>
    <row r="91" spans="1:57" x14ac:dyDescent="0.2">
      <c r="A91" s="46"/>
      <c r="B91" s="46"/>
      <c r="C91" s="47"/>
      <c r="D91" s="48"/>
      <c r="E91" s="48" t="str">
        <f t="shared" si="5"/>
        <v>Unserved energy day 1</v>
      </c>
      <c r="F91" s="48"/>
      <c r="G91" s="48"/>
      <c r="H91" s="48"/>
      <c r="I91" s="48"/>
      <c r="J91" s="48"/>
      <c r="K91" s="48"/>
      <c r="L91" s="48"/>
      <c r="M91" s="48"/>
      <c r="N91" s="48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</row>
    <row r="92" spans="1:57" x14ac:dyDescent="0.2">
      <c r="A92" s="46"/>
      <c r="B92" s="46"/>
      <c r="C92" s="47"/>
      <c r="D92" s="48"/>
      <c r="E92" s="80" t="str">
        <f t="shared" si="5"/>
        <v>Unserved energy day 2</v>
      </c>
      <c r="F92" s="80"/>
      <c r="G92" s="80"/>
      <c r="H92" s="80"/>
      <c r="I92" s="80"/>
      <c r="J92" s="80"/>
      <c r="K92" s="80"/>
      <c r="L92" s="80"/>
      <c r="M92" s="80"/>
      <c r="N92" s="8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</row>
    <row r="93" spans="1:57" x14ac:dyDescent="0.2">
      <c r="A93" s="46"/>
      <c r="B93" s="46"/>
      <c r="C93" s="47"/>
      <c r="D93" s="85" t="str">
        <f>D78</f>
        <v>N-2</v>
      </c>
      <c r="E93" s="85" t="str">
        <f t="shared" si="5"/>
        <v>Average load at risk (pu)</v>
      </c>
      <c r="F93" s="85"/>
      <c r="G93" s="85"/>
      <c r="H93" s="85"/>
      <c r="I93" s="85"/>
      <c r="J93" s="85"/>
      <c r="K93" s="85"/>
      <c r="L93" s="85"/>
      <c r="M93" s="85"/>
      <c r="N93" s="85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</row>
    <row r="94" spans="1:57" x14ac:dyDescent="0.2">
      <c r="A94" s="46"/>
      <c r="B94" s="46"/>
      <c r="C94" s="47"/>
      <c r="D94" s="48"/>
      <c r="E94" s="48" t="str">
        <f t="shared" si="5"/>
        <v>Unserved energy day 1</v>
      </c>
      <c r="F94" s="48"/>
      <c r="G94" s="48"/>
      <c r="H94" s="48"/>
      <c r="I94" s="48"/>
      <c r="J94" s="48"/>
      <c r="K94" s="48"/>
      <c r="L94" s="48"/>
      <c r="M94" s="48"/>
      <c r="N94" s="48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</row>
    <row r="95" spans="1:57" x14ac:dyDescent="0.2">
      <c r="A95" s="46"/>
      <c r="B95" s="46"/>
      <c r="C95" s="47"/>
      <c r="D95" s="48"/>
      <c r="E95" s="80" t="str">
        <f t="shared" si="5"/>
        <v>Unserved energy day 2</v>
      </c>
      <c r="F95" s="80"/>
      <c r="G95" s="80"/>
      <c r="H95" s="80"/>
      <c r="I95" s="80"/>
      <c r="J95" s="80"/>
      <c r="K95" s="80"/>
      <c r="L95" s="80"/>
      <c r="M95" s="80"/>
      <c r="N95" s="8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</row>
    <row r="96" spans="1:57" x14ac:dyDescent="0.2">
      <c r="A96" s="46"/>
      <c r="B96" s="46"/>
      <c r="C96" s="47"/>
      <c r="D96" s="85" t="str">
        <f>D79</f>
        <v>N-3</v>
      </c>
      <c r="E96" s="85" t="str">
        <f t="shared" si="5"/>
        <v>Average load at risk (pu)</v>
      </c>
      <c r="F96" s="85"/>
      <c r="G96" s="85"/>
      <c r="H96" s="85"/>
      <c r="I96" s="85"/>
      <c r="J96" s="85"/>
      <c r="K96" s="85"/>
      <c r="L96" s="85"/>
      <c r="M96" s="85"/>
      <c r="N96" s="85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</row>
    <row r="97" spans="1:57" x14ac:dyDescent="0.2">
      <c r="A97" s="46"/>
      <c r="B97" s="46"/>
      <c r="C97" s="47"/>
      <c r="D97" s="48"/>
      <c r="E97" s="48" t="str">
        <f t="shared" si="5"/>
        <v>Unserved energy day 1</v>
      </c>
      <c r="F97" s="48"/>
      <c r="G97" s="48"/>
      <c r="H97" s="48"/>
      <c r="I97" s="48"/>
      <c r="J97" s="48"/>
      <c r="K97" s="48"/>
      <c r="L97" s="48"/>
      <c r="M97" s="48"/>
      <c r="N97" s="48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</row>
    <row r="98" spans="1:57" x14ac:dyDescent="0.2">
      <c r="A98" s="46"/>
      <c r="B98" s="46"/>
      <c r="C98" s="47"/>
      <c r="D98" s="48"/>
      <c r="E98" s="80" t="str">
        <f t="shared" si="5"/>
        <v>Unserved energy day 2</v>
      </c>
      <c r="F98" s="80"/>
      <c r="G98" s="80"/>
      <c r="H98" s="80"/>
      <c r="I98" s="80"/>
      <c r="J98" s="80"/>
      <c r="K98" s="80"/>
      <c r="L98" s="80"/>
      <c r="M98" s="80"/>
      <c r="N98" s="8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</row>
    <row r="99" spans="1:57" x14ac:dyDescent="0.2">
      <c r="A99" s="46"/>
      <c r="B99" s="46"/>
      <c r="C99" s="47"/>
      <c r="D99" s="86" t="str">
        <f>D80</f>
        <v>N-4</v>
      </c>
      <c r="E99" s="86" t="str">
        <f t="shared" si="5"/>
        <v>Average load at risk (pu)</v>
      </c>
      <c r="F99" s="86"/>
      <c r="G99" s="86"/>
      <c r="H99" s="86"/>
      <c r="I99" s="86"/>
      <c r="J99" s="86"/>
      <c r="K99" s="86"/>
      <c r="L99" s="86"/>
      <c r="M99" s="86"/>
      <c r="N99" s="86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</row>
    <row r="100" spans="1:57" x14ac:dyDescent="0.2">
      <c r="A100" s="46"/>
      <c r="B100" s="46"/>
      <c r="C100" s="4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</row>
    <row r="101" spans="1:57" x14ac:dyDescent="0.2">
      <c r="A101" s="46"/>
      <c r="B101" s="46"/>
      <c r="C101" s="47" t="s">
        <v>166</v>
      </c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</row>
    <row r="102" spans="1:57" x14ac:dyDescent="0.2">
      <c r="A102" s="46"/>
      <c r="B102" s="46"/>
      <c r="C102" s="47"/>
      <c r="D102" s="48" t="str">
        <f>D87</f>
        <v>N</v>
      </c>
      <c r="E102" s="48"/>
      <c r="F102" s="48"/>
      <c r="G102" s="48"/>
      <c r="H102" s="48"/>
      <c r="I102" s="48"/>
      <c r="J102" s="48"/>
      <c r="K102" s="48"/>
      <c r="L102" s="48"/>
      <c r="M102" s="88"/>
      <c r="N102" s="48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</row>
    <row r="103" spans="1:57" x14ac:dyDescent="0.2">
      <c r="A103" s="46"/>
      <c r="B103" s="46"/>
      <c r="C103" s="47"/>
      <c r="D103" s="48" t="str">
        <f>D90</f>
        <v>N-1</v>
      </c>
      <c r="E103" s="48"/>
      <c r="F103" s="48"/>
      <c r="G103" s="48"/>
      <c r="H103" s="48"/>
      <c r="I103" s="48"/>
      <c r="J103" s="79" t="str">
        <f>Inputs!D64</f>
        <v>Significant</v>
      </c>
      <c r="K103" s="48"/>
      <c r="L103" s="48"/>
      <c r="M103" s="88"/>
      <c r="N103" s="48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</row>
    <row r="104" spans="1:57" x14ac:dyDescent="0.2">
      <c r="A104" s="46"/>
      <c r="B104" s="46"/>
      <c r="C104" s="47"/>
      <c r="D104" s="48" t="str">
        <f>D90</f>
        <v>N-1</v>
      </c>
      <c r="E104" s="48"/>
      <c r="F104" s="48"/>
      <c r="G104" s="48"/>
      <c r="H104" s="48"/>
      <c r="I104" s="48"/>
      <c r="J104" s="79" t="str">
        <f>Inputs!D65</f>
        <v>Major</v>
      </c>
      <c r="K104" s="48"/>
      <c r="L104" s="48"/>
      <c r="M104" s="88"/>
      <c r="N104" s="48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</row>
    <row r="105" spans="1:57" x14ac:dyDescent="0.2">
      <c r="A105" s="46"/>
      <c r="B105" s="46"/>
      <c r="C105" s="47"/>
      <c r="D105" s="48" t="str">
        <f>D93</f>
        <v>N-2</v>
      </c>
      <c r="E105" s="48"/>
      <c r="F105" s="48"/>
      <c r="G105" s="48"/>
      <c r="H105" s="48"/>
      <c r="I105" s="48"/>
      <c r="J105" s="79" t="str">
        <f>Inputs!$D$66</f>
        <v>Catastrophic</v>
      </c>
      <c r="K105" s="48"/>
      <c r="L105" s="48"/>
      <c r="M105" s="88"/>
      <c r="N105" s="48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</row>
    <row r="106" spans="1:57" x14ac:dyDescent="0.2">
      <c r="A106" s="46"/>
      <c r="B106" s="46"/>
      <c r="C106" s="47"/>
      <c r="D106" s="48" t="str">
        <f>D96</f>
        <v>N-3</v>
      </c>
      <c r="E106" s="48"/>
      <c r="F106" s="48"/>
      <c r="G106" s="48"/>
      <c r="H106" s="48"/>
      <c r="I106" s="48"/>
      <c r="J106" s="79" t="str">
        <f>Inputs!$D$66</f>
        <v>Catastrophic</v>
      </c>
      <c r="K106" s="48"/>
      <c r="L106" s="48"/>
      <c r="M106" s="88"/>
      <c r="N106" s="48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</row>
    <row r="107" spans="1:57" x14ac:dyDescent="0.2">
      <c r="A107" s="46"/>
      <c r="B107" s="46"/>
      <c r="C107" s="47"/>
      <c r="D107" s="80" t="str">
        <f>D99</f>
        <v>N-4</v>
      </c>
      <c r="E107" s="80"/>
      <c r="F107" s="80"/>
      <c r="G107" s="80"/>
      <c r="H107" s="80"/>
      <c r="I107" s="80"/>
      <c r="J107" s="79" t="str">
        <f>Inputs!$D$66</f>
        <v>Catastrophic</v>
      </c>
      <c r="K107" s="80"/>
      <c r="L107" s="80"/>
      <c r="M107" s="89"/>
      <c r="N107" s="8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</row>
    <row r="108" spans="1:57" x14ac:dyDescent="0.2">
      <c r="A108" s="46"/>
      <c r="B108" s="46"/>
      <c r="C108" s="47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</row>
    <row r="109" spans="1:57" x14ac:dyDescent="0.2">
      <c r="A109" s="49" t="s">
        <v>167</v>
      </c>
      <c r="B109" s="49"/>
      <c r="C109" s="50"/>
      <c r="D109" s="51"/>
      <c r="E109" s="51"/>
      <c r="F109" s="51"/>
      <c r="G109" s="51"/>
      <c r="H109" s="51"/>
      <c r="I109" s="51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</row>
    <row r="110" spans="1:57" x14ac:dyDescent="0.2">
      <c r="A110" s="46"/>
      <c r="B110" s="46"/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</row>
    <row r="111" spans="1:57" x14ac:dyDescent="0.2">
      <c r="A111" s="46"/>
      <c r="B111" s="46" t="s">
        <v>168</v>
      </c>
      <c r="C111" s="47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</row>
    <row r="112" spans="1:57" x14ac:dyDescent="0.2">
      <c r="A112" s="46"/>
      <c r="B112" s="46"/>
      <c r="C112" s="47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</row>
    <row r="113" spans="1:57" x14ac:dyDescent="0.2">
      <c r="A113" s="46"/>
      <c r="B113" s="46"/>
      <c r="C113" s="47" t="str">
        <f>Inputs!C63</f>
        <v>Failure mode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</row>
    <row r="114" spans="1:57" x14ac:dyDescent="0.2">
      <c r="A114" s="46"/>
      <c r="B114" s="46"/>
      <c r="C114" s="47"/>
      <c r="D114" s="48" t="str">
        <f>Inputs!D64</f>
        <v>Significant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53">
        <f>Inputs!O64*$I$9</f>
        <v>1.21E-2</v>
      </c>
      <c r="P114" s="53">
        <f>Inputs!P64*$I$9</f>
        <v>1.3310000000000001E-2</v>
      </c>
      <c r="Q114" s="53">
        <f>Inputs!Q64*$I$9</f>
        <v>1.4630000000000001E-2</v>
      </c>
      <c r="R114" s="53">
        <f>Inputs!R64*$I$9</f>
        <v>1.6060000000000001E-2</v>
      </c>
      <c r="S114" s="53">
        <f>Inputs!S64*$I$9</f>
        <v>1.771E-2</v>
      </c>
      <c r="T114" s="53">
        <f>Inputs!T64*$I$9</f>
        <v>1.9470000000000001E-2</v>
      </c>
      <c r="U114" s="53">
        <f>Inputs!U64*$I$9</f>
        <v>2.145E-2</v>
      </c>
      <c r="V114" s="53">
        <f>Inputs!V64*$I$9</f>
        <v>2.3540000000000002E-2</v>
      </c>
      <c r="W114" s="53">
        <f>Inputs!W64*$I$9</f>
        <v>2.596E-2</v>
      </c>
      <c r="X114" s="53">
        <f>Inputs!X64*$I$9</f>
        <v>2.8490000000000001E-2</v>
      </c>
      <c r="Y114" s="53">
        <f>Inputs!Y64*$I$9</f>
        <v>3.1350000000000003E-2</v>
      </c>
      <c r="Z114" s="53">
        <f>Inputs!Z64*$I$9</f>
        <v>3.4540000000000001E-2</v>
      </c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</row>
    <row r="115" spans="1:57" x14ac:dyDescent="0.2">
      <c r="A115" s="46"/>
      <c r="B115" s="46"/>
      <c r="C115" s="47"/>
      <c r="D115" s="48" t="str">
        <f>Inputs!D65</f>
        <v>Major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53">
        <f>Inputs!O65*$I$9</f>
        <v>1.166E-2</v>
      </c>
      <c r="P115" s="53">
        <f>Inputs!P65*$I$9</f>
        <v>1.2760000000000001E-2</v>
      </c>
      <c r="Q115" s="53">
        <f>Inputs!Q65*$I$9</f>
        <v>1.4080000000000002E-2</v>
      </c>
      <c r="R115" s="53">
        <f>Inputs!R65*$I$9</f>
        <v>1.5510000000000001E-2</v>
      </c>
      <c r="S115" s="53">
        <f>Inputs!S65*$I$9</f>
        <v>1.7050000000000003E-2</v>
      </c>
      <c r="T115" s="53">
        <f>Inputs!T65*$I$9</f>
        <v>1.8700000000000001E-2</v>
      </c>
      <c r="U115" s="53">
        <f>Inputs!U65*$I$9</f>
        <v>2.0570000000000001E-2</v>
      </c>
      <c r="V115" s="53">
        <f>Inputs!V65*$I$9</f>
        <v>2.2660000000000003E-2</v>
      </c>
      <c r="W115" s="53">
        <f>Inputs!W65*$I$9</f>
        <v>2.486E-2</v>
      </c>
      <c r="X115" s="53">
        <f>Inputs!X65*$I$9</f>
        <v>2.7390000000000001E-2</v>
      </c>
      <c r="Y115" s="53">
        <f>Inputs!Y65*$I$9</f>
        <v>3.0140000000000004E-2</v>
      </c>
      <c r="Z115" s="53">
        <f>Inputs!Z65*$I$9</f>
        <v>3.3110000000000001E-2</v>
      </c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</row>
    <row r="116" spans="1:57" x14ac:dyDescent="0.2">
      <c r="A116" s="46"/>
      <c r="B116" s="46"/>
      <c r="C116" s="47"/>
      <c r="D116" s="80" t="str">
        <f>Inputs!D66</f>
        <v>Catastrophic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53">
        <f>Inputs!O66*$I$9</f>
        <v>0.11077000000000001</v>
      </c>
      <c r="P116" s="53">
        <f>Inputs!P66*$I$9</f>
        <v>0.12177000000000002</v>
      </c>
      <c r="Q116" s="53">
        <f>Inputs!Q66*$I$9</f>
        <v>0.13398000000000002</v>
      </c>
      <c r="R116" s="53">
        <f>Inputs!R66*$I$9</f>
        <v>0.14740000000000003</v>
      </c>
      <c r="S116" s="53">
        <f>Inputs!S66*$I$9</f>
        <v>0.16214000000000001</v>
      </c>
      <c r="T116" s="53">
        <f>Inputs!T66*$I$9</f>
        <v>0.17831</v>
      </c>
      <c r="U116" s="53">
        <f>Inputs!U66*$I$9</f>
        <v>0.19613</v>
      </c>
      <c r="V116" s="53">
        <f>Inputs!V66*$I$9</f>
        <v>0.21571000000000001</v>
      </c>
      <c r="W116" s="53">
        <f>Inputs!W66*$I$9</f>
        <v>0.23738000000000001</v>
      </c>
      <c r="X116" s="53">
        <f>Inputs!X66*$I$9</f>
        <v>0.26103000000000004</v>
      </c>
      <c r="Y116" s="53">
        <f>Inputs!Y66*$I$9</f>
        <v>0.28721000000000002</v>
      </c>
      <c r="Z116" s="53">
        <f>Inputs!Z66*$I$9</f>
        <v>0.31592000000000003</v>
      </c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</row>
    <row r="117" spans="1:57" x14ac:dyDescent="0.2">
      <c r="A117" s="46"/>
      <c r="B117" s="46"/>
      <c r="C117" s="47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</row>
    <row r="118" spans="1:57" x14ac:dyDescent="0.2">
      <c r="A118" s="46"/>
      <c r="B118" s="46"/>
      <c r="C118" s="47" t="s">
        <v>169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</row>
    <row r="119" spans="1:57" x14ac:dyDescent="0.2">
      <c r="A119" s="46"/>
      <c r="B119" s="46"/>
      <c r="C119" s="47"/>
      <c r="D119" s="48" t="str">
        <f>$O$16</f>
        <v>Network Performance</v>
      </c>
      <c r="E119" s="48"/>
      <c r="F119" s="48"/>
      <c r="G119" s="48"/>
      <c r="H119" s="48"/>
      <c r="I119" s="48"/>
      <c r="J119" s="79" t="str">
        <f>J103</f>
        <v>Significant</v>
      </c>
      <c r="K119" s="48"/>
      <c r="L119" s="48"/>
      <c r="M119" s="48"/>
      <c r="N119" s="48"/>
      <c r="O119" s="112">
        <f>$O$37*O114</f>
        <v>0</v>
      </c>
      <c r="P119" s="112">
        <f t="shared" ref="P119:Z119" si="6">$O$37*P114</f>
        <v>0</v>
      </c>
      <c r="Q119" s="112">
        <f t="shared" si="6"/>
        <v>0</v>
      </c>
      <c r="R119" s="112">
        <f t="shared" si="6"/>
        <v>0</v>
      </c>
      <c r="S119" s="112">
        <f t="shared" si="6"/>
        <v>0</v>
      </c>
      <c r="T119" s="112">
        <f t="shared" si="6"/>
        <v>0</v>
      </c>
      <c r="U119" s="112">
        <f t="shared" si="6"/>
        <v>0</v>
      </c>
      <c r="V119" s="112">
        <f t="shared" si="6"/>
        <v>0</v>
      </c>
      <c r="W119" s="112">
        <f t="shared" si="6"/>
        <v>0</v>
      </c>
      <c r="X119" s="112">
        <f t="shared" si="6"/>
        <v>0</v>
      </c>
      <c r="Y119" s="112">
        <f t="shared" si="6"/>
        <v>0</v>
      </c>
      <c r="Z119" s="112">
        <f t="shared" si="6"/>
        <v>0</v>
      </c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</row>
    <row r="120" spans="1:57" x14ac:dyDescent="0.2">
      <c r="A120" s="46"/>
      <c r="B120" s="46"/>
      <c r="C120" s="47"/>
      <c r="D120" s="48" t="str">
        <f t="shared" ref="D120:D121" si="7">$O$16</f>
        <v>Network Performance</v>
      </c>
      <c r="E120" s="48"/>
      <c r="F120" s="48"/>
      <c r="G120" s="48"/>
      <c r="H120" s="48"/>
      <c r="I120" s="48"/>
      <c r="J120" s="79" t="str">
        <f t="shared" ref="J120:J121" si="8">J104</f>
        <v>Major</v>
      </c>
      <c r="K120" s="48"/>
      <c r="L120" s="48"/>
      <c r="M120" s="48"/>
      <c r="N120" s="48"/>
      <c r="O120" s="112">
        <f>$O$27*O115</f>
        <v>6413</v>
      </c>
      <c r="P120" s="112">
        <f t="shared" ref="P120:Z120" si="9">$O$27*P115</f>
        <v>7018</v>
      </c>
      <c r="Q120" s="112">
        <f t="shared" si="9"/>
        <v>7744.0000000000009</v>
      </c>
      <c r="R120" s="112">
        <f t="shared" si="9"/>
        <v>8530.5</v>
      </c>
      <c r="S120" s="112">
        <f t="shared" si="9"/>
        <v>9377.5000000000018</v>
      </c>
      <c r="T120" s="112">
        <f t="shared" si="9"/>
        <v>10285</v>
      </c>
      <c r="U120" s="112">
        <f t="shared" si="9"/>
        <v>11313.5</v>
      </c>
      <c r="V120" s="112">
        <f t="shared" si="9"/>
        <v>12463.000000000002</v>
      </c>
      <c r="W120" s="112">
        <f t="shared" si="9"/>
        <v>13673</v>
      </c>
      <c r="X120" s="112">
        <f t="shared" si="9"/>
        <v>15064.5</v>
      </c>
      <c r="Y120" s="112">
        <f t="shared" si="9"/>
        <v>16577.000000000004</v>
      </c>
      <c r="Z120" s="112">
        <f t="shared" si="9"/>
        <v>18210.5</v>
      </c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</row>
    <row r="121" spans="1:57" x14ac:dyDescent="0.2">
      <c r="A121" s="46"/>
      <c r="B121" s="46"/>
      <c r="C121" s="47"/>
      <c r="D121" s="80" t="str">
        <f t="shared" si="7"/>
        <v>Network Performance</v>
      </c>
      <c r="E121" s="80"/>
      <c r="F121" s="80"/>
      <c r="G121" s="80"/>
      <c r="H121" s="80"/>
      <c r="I121" s="80"/>
      <c r="J121" s="79" t="str">
        <f t="shared" si="8"/>
        <v>Catastrophic</v>
      </c>
      <c r="K121" s="80"/>
      <c r="L121" s="80"/>
      <c r="M121" s="80"/>
      <c r="N121" s="80"/>
      <c r="O121" s="112">
        <f>$O$17*O116</f>
        <v>60923.500000000007</v>
      </c>
      <c r="P121" s="112">
        <f t="shared" ref="P121:Z121" si="10">$O$17*P116</f>
        <v>66973.500000000015</v>
      </c>
      <c r="Q121" s="112">
        <f t="shared" si="10"/>
        <v>73689.000000000015</v>
      </c>
      <c r="R121" s="112">
        <f t="shared" si="10"/>
        <v>81070.000000000015</v>
      </c>
      <c r="S121" s="112">
        <f t="shared" si="10"/>
        <v>89177</v>
      </c>
      <c r="T121" s="112">
        <f t="shared" si="10"/>
        <v>98070.5</v>
      </c>
      <c r="U121" s="112">
        <f t="shared" si="10"/>
        <v>107871.5</v>
      </c>
      <c r="V121" s="112">
        <f t="shared" si="10"/>
        <v>118640.5</v>
      </c>
      <c r="W121" s="112">
        <f t="shared" si="10"/>
        <v>130559</v>
      </c>
      <c r="X121" s="112">
        <f t="shared" si="10"/>
        <v>143566.50000000003</v>
      </c>
      <c r="Y121" s="112">
        <f t="shared" si="10"/>
        <v>157965.5</v>
      </c>
      <c r="Z121" s="112">
        <f t="shared" si="10"/>
        <v>173756.00000000003</v>
      </c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</row>
    <row r="122" spans="1:57" x14ac:dyDescent="0.2">
      <c r="A122" s="46"/>
      <c r="B122" s="46"/>
      <c r="C122" s="47"/>
      <c r="D122" s="48" t="s">
        <v>187</v>
      </c>
      <c r="E122" s="48"/>
      <c r="F122" s="48"/>
      <c r="G122" s="48"/>
      <c r="H122" s="48"/>
      <c r="I122" s="48"/>
      <c r="J122" s="113" t="str">
        <f>J119</f>
        <v>Significant</v>
      </c>
      <c r="K122" s="48"/>
      <c r="L122" s="48"/>
      <c r="M122" s="48"/>
      <c r="N122" s="48"/>
      <c r="O122" s="104">
        <v>0</v>
      </c>
      <c r="P122" s="104">
        <v>0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04">
        <v>0</v>
      </c>
      <c r="X122" s="104">
        <v>0</v>
      </c>
      <c r="Y122" s="104">
        <v>0</v>
      </c>
      <c r="Z122" s="104">
        <v>0</v>
      </c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</row>
    <row r="123" spans="1:57" x14ac:dyDescent="0.2">
      <c r="A123" s="46"/>
      <c r="B123" s="46"/>
      <c r="C123" s="47"/>
      <c r="D123" s="80" t="str">
        <f>D122</f>
        <v>Network Performance - Coincidental outage</v>
      </c>
      <c r="E123" s="80"/>
      <c r="F123" s="80"/>
      <c r="G123" s="80"/>
      <c r="H123" s="80"/>
      <c r="I123" s="80"/>
      <c r="J123" s="79" t="str">
        <f>J120</f>
        <v>Major</v>
      </c>
      <c r="K123" s="80"/>
      <c r="L123" s="80"/>
      <c r="M123" s="80"/>
      <c r="N123" s="80"/>
      <c r="O123" s="109">
        <v>0</v>
      </c>
      <c r="P123" s="109">
        <v>0</v>
      </c>
      <c r="Q123" s="109">
        <v>0</v>
      </c>
      <c r="R123" s="109">
        <v>0</v>
      </c>
      <c r="S123" s="109">
        <v>0</v>
      </c>
      <c r="T123" s="109">
        <v>0</v>
      </c>
      <c r="U123" s="109">
        <v>0</v>
      </c>
      <c r="V123" s="109">
        <v>0</v>
      </c>
      <c r="W123" s="109">
        <v>0</v>
      </c>
      <c r="X123" s="109">
        <v>0</v>
      </c>
      <c r="Y123" s="109">
        <v>0</v>
      </c>
      <c r="Z123" s="109">
        <v>0</v>
      </c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</row>
    <row r="124" spans="1:57" x14ac:dyDescent="0.2">
      <c r="A124" s="46"/>
      <c r="B124" s="46"/>
      <c r="C124" s="47"/>
      <c r="D124" s="48" t="s">
        <v>170</v>
      </c>
      <c r="E124" s="48"/>
      <c r="F124" s="48"/>
      <c r="G124" s="48"/>
      <c r="H124" s="48"/>
      <c r="I124" s="48"/>
      <c r="J124" s="113" t="str">
        <f>J119</f>
        <v>Significant</v>
      </c>
      <c r="K124" s="48"/>
      <c r="L124" s="48"/>
      <c r="M124" s="48"/>
      <c r="N124" s="48"/>
      <c r="O124" s="81">
        <f t="shared" ref="O124:Z124" si="11">SUMIF($J$49:$J$51,$J124,$V$49:$V$51)*O114</f>
        <v>8954</v>
      </c>
      <c r="P124" s="81">
        <f t="shared" si="11"/>
        <v>9849.4</v>
      </c>
      <c r="Q124" s="81">
        <f t="shared" si="11"/>
        <v>10826.2</v>
      </c>
      <c r="R124" s="81">
        <f t="shared" si="11"/>
        <v>11884.400000000001</v>
      </c>
      <c r="S124" s="81">
        <f t="shared" si="11"/>
        <v>13105.4</v>
      </c>
      <c r="T124" s="81">
        <f t="shared" si="11"/>
        <v>14407.800000000001</v>
      </c>
      <c r="U124" s="81">
        <f t="shared" si="11"/>
        <v>15873</v>
      </c>
      <c r="V124" s="81">
        <f t="shared" si="11"/>
        <v>17419.600000000002</v>
      </c>
      <c r="W124" s="81">
        <f t="shared" si="11"/>
        <v>19210.400000000001</v>
      </c>
      <c r="X124" s="81">
        <f t="shared" si="11"/>
        <v>21082.600000000002</v>
      </c>
      <c r="Y124" s="81">
        <f t="shared" si="11"/>
        <v>23199.000000000004</v>
      </c>
      <c r="Z124" s="81">
        <f t="shared" si="11"/>
        <v>25559.600000000002</v>
      </c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</row>
    <row r="125" spans="1:57" x14ac:dyDescent="0.2">
      <c r="A125" s="46"/>
      <c r="B125" s="46"/>
      <c r="C125" s="47"/>
      <c r="D125" s="48" t="s">
        <v>171</v>
      </c>
      <c r="E125" s="48"/>
      <c r="F125" s="48"/>
      <c r="G125" s="48"/>
      <c r="H125" s="48"/>
      <c r="I125" s="48"/>
      <c r="J125" s="79" t="str">
        <f>J120</f>
        <v>Major</v>
      </c>
      <c r="K125" s="48"/>
      <c r="L125" s="48"/>
      <c r="M125" s="48"/>
      <c r="N125" s="48"/>
      <c r="O125" s="66">
        <f t="shared" ref="O125:Z125" si="12">SUMIF($J$49:$J$51,$J125,$V$49:$V$51)*O115</f>
        <v>44960.960000000006</v>
      </c>
      <c r="P125" s="66">
        <f t="shared" si="12"/>
        <v>49202.560000000005</v>
      </c>
      <c r="Q125" s="66">
        <f t="shared" si="12"/>
        <v>54292.480000000018</v>
      </c>
      <c r="R125" s="66">
        <f t="shared" si="12"/>
        <v>59806.560000000012</v>
      </c>
      <c r="S125" s="66">
        <f t="shared" si="12"/>
        <v>65744.800000000017</v>
      </c>
      <c r="T125" s="66">
        <f t="shared" si="12"/>
        <v>72107.200000000012</v>
      </c>
      <c r="U125" s="66">
        <f t="shared" si="12"/>
        <v>79317.920000000013</v>
      </c>
      <c r="V125" s="66">
        <f t="shared" si="12"/>
        <v>87376.960000000021</v>
      </c>
      <c r="W125" s="66">
        <f t="shared" si="12"/>
        <v>95860.160000000018</v>
      </c>
      <c r="X125" s="66">
        <f t="shared" si="12"/>
        <v>105615.84000000001</v>
      </c>
      <c r="Y125" s="66">
        <f t="shared" si="12"/>
        <v>116219.84000000003</v>
      </c>
      <c r="Z125" s="66">
        <f t="shared" si="12"/>
        <v>127672.16000000002</v>
      </c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</row>
    <row r="126" spans="1:57" x14ac:dyDescent="0.2">
      <c r="A126" s="46"/>
      <c r="B126" s="46"/>
      <c r="C126" s="47"/>
      <c r="D126" s="48" t="s">
        <v>172</v>
      </c>
      <c r="E126" s="48"/>
      <c r="F126" s="48"/>
      <c r="G126" s="48"/>
      <c r="H126" s="48"/>
      <c r="I126" s="48"/>
      <c r="J126" s="79" t="str">
        <f>J121</f>
        <v>Catastrophic</v>
      </c>
      <c r="K126" s="48"/>
      <c r="L126" s="48"/>
      <c r="M126" s="48"/>
      <c r="N126" s="48"/>
      <c r="O126" s="66">
        <f t="shared" ref="O126:Z126" si="13">SUMIF($J$49:$J$51,$J126,$V$49:$V$51)*O116</f>
        <v>427129.12000000005</v>
      </c>
      <c r="P126" s="66">
        <f t="shared" si="13"/>
        <v>469545.12000000011</v>
      </c>
      <c r="Q126" s="66">
        <f t="shared" si="13"/>
        <v>516626.88000000012</v>
      </c>
      <c r="R126" s="66">
        <f t="shared" si="13"/>
        <v>568374.40000000014</v>
      </c>
      <c r="S126" s="66">
        <f t="shared" si="13"/>
        <v>625211.84000000008</v>
      </c>
      <c r="T126" s="66">
        <f t="shared" si="13"/>
        <v>687563.3600000001</v>
      </c>
      <c r="U126" s="66">
        <f t="shared" si="13"/>
        <v>756277.28000000014</v>
      </c>
      <c r="V126" s="66">
        <f t="shared" si="13"/>
        <v>831777.76000000013</v>
      </c>
      <c r="W126" s="66">
        <f t="shared" si="13"/>
        <v>915337.28000000014</v>
      </c>
      <c r="X126" s="66">
        <f t="shared" si="13"/>
        <v>1006531.6800000003</v>
      </c>
      <c r="Y126" s="66">
        <f t="shared" si="13"/>
        <v>1107481.7600000002</v>
      </c>
      <c r="Z126" s="66">
        <f t="shared" si="13"/>
        <v>1218187.5200000003</v>
      </c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</row>
    <row r="127" spans="1:57" x14ac:dyDescent="0.2">
      <c r="A127" s="46"/>
      <c r="B127" s="46"/>
      <c r="C127" s="47"/>
      <c r="D127" s="80" t="s">
        <v>173</v>
      </c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66">
        <f>Inputs!$J$27*$I$11</f>
        <v>0</v>
      </c>
      <c r="P127" s="66">
        <f>Inputs!$J$27*$I$11</f>
        <v>0</v>
      </c>
      <c r="Q127" s="66">
        <f>Inputs!$J$27*$I$11</f>
        <v>0</v>
      </c>
      <c r="R127" s="66">
        <f>Inputs!$J$27*$I$11</f>
        <v>0</v>
      </c>
      <c r="S127" s="66">
        <f>Inputs!$J$27*$I$11</f>
        <v>0</v>
      </c>
      <c r="T127" s="66">
        <f>Inputs!$J$27*$I$11</f>
        <v>0</v>
      </c>
      <c r="U127" s="66">
        <f>Inputs!$J$27*$I$11</f>
        <v>0</v>
      </c>
      <c r="V127" s="66">
        <f>Inputs!$J$27*$I$11</f>
        <v>0</v>
      </c>
      <c r="W127" s="66">
        <f>Inputs!$J$27*$I$11</f>
        <v>0</v>
      </c>
      <c r="X127" s="66">
        <f>Inputs!$J$27*$I$11</f>
        <v>0</v>
      </c>
      <c r="Y127" s="66">
        <f>Inputs!$J$27*$I$11</f>
        <v>0</v>
      </c>
      <c r="Z127" s="66">
        <f>Inputs!$J$27*$I$11</f>
        <v>0</v>
      </c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</row>
    <row r="128" spans="1:57" x14ac:dyDescent="0.2">
      <c r="A128" s="46"/>
      <c r="B128" s="46"/>
      <c r="C128" s="47"/>
      <c r="D128" s="48" t="s">
        <v>161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90">
        <f>SUM(O119:O127)</f>
        <v>548380.58000000007</v>
      </c>
      <c r="P128" s="90">
        <f t="shared" ref="P128:Z128" si="14">SUM(P119:P127)</f>
        <v>602588.58000000007</v>
      </c>
      <c r="Q128" s="90">
        <f t="shared" si="14"/>
        <v>663178.56000000017</v>
      </c>
      <c r="R128" s="90">
        <f t="shared" si="14"/>
        <v>729665.8600000001</v>
      </c>
      <c r="S128" s="90">
        <f t="shared" si="14"/>
        <v>802616.54</v>
      </c>
      <c r="T128" s="90">
        <f t="shared" si="14"/>
        <v>882433.8600000001</v>
      </c>
      <c r="U128" s="90">
        <f t="shared" si="14"/>
        <v>970653.20000000019</v>
      </c>
      <c r="V128" s="90">
        <f t="shared" si="14"/>
        <v>1067677.82</v>
      </c>
      <c r="W128" s="90">
        <f t="shared" si="14"/>
        <v>1174639.8400000001</v>
      </c>
      <c r="X128" s="90">
        <f t="shared" si="14"/>
        <v>1291861.1200000003</v>
      </c>
      <c r="Y128" s="90">
        <f t="shared" si="14"/>
        <v>1421443.1000000003</v>
      </c>
      <c r="Z128" s="90">
        <f t="shared" si="14"/>
        <v>1563385.7800000003</v>
      </c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</row>
    <row r="129" spans="1:57" x14ac:dyDescent="0.2">
      <c r="A129" s="46"/>
      <c r="B129" s="46"/>
      <c r="C129" s="47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</row>
    <row r="130" spans="1:57" x14ac:dyDescent="0.2">
      <c r="A130" s="49" t="s">
        <v>174</v>
      </c>
      <c r="B130" s="49"/>
      <c r="C130" s="50"/>
      <c r="D130" s="51"/>
      <c r="E130" s="51"/>
      <c r="F130" s="51"/>
      <c r="G130" s="51"/>
      <c r="H130" s="51"/>
      <c r="I130" s="51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</row>
    <row r="131" spans="1:57" x14ac:dyDescent="0.2">
      <c r="A131" s="46"/>
      <c r="B131" s="46"/>
      <c r="C131" s="47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</row>
    <row r="132" spans="1:57" x14ac:dyDescent="0.2">
      <c r="A132" s="46"/>
      <c r="B132" s="46" t="s">
        <v>175</v>
      </c>
      <c r="C132" s="47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</row>
    <row r="133" spans="1:57" x14ac:dyDescent="0.2">
      <c r="A133" s="46"/>
      <c r="B133" s="46"/>
      <c r="C133" s="47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</row>
    <row r="134" spans="1:57" x14ac:dyDescent="0.2">
      <c r="A134" s="46"/>
      <c r="B134" s="46"/>
      <c r="C134" s="47" t="s">
        <v>176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</row>
    <row r="135" spans="1:57" x14ac:dyDescent="0.2">
      <c r="A135" s="46"/>
      <c r="B135" s="46"/>
      <c r="C135" s="47"/>
      <c r="D135" s="48" t="str">
        <f>Inputs!D22</f>
        <v>Capex ($2021)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66">
        <f>Inputs!O22*'Scenario D'!$I$10</f>
        <v>0</v>
      </c>
      <c r="P135" s="66">
        <f>Inputs!P22*'Scenario D'!$I$10</f>
        <v>1585459.1150442478</v>
      </c>
      <c r="Q135" s="66">
        <f>Inputs!Q22*'Scenario D'!$I$10</f>
        <v>2238295.2212389382</v>
      </c>
      <c r="R135" s="66">
        <f>Inputs!R22*'Scenario D'!$I$10</f>
        <v>2518082.1238938058</v>
      </c>
      <c r="S135" s="66">
        <f>Inputs!S22*'Scenario D'!$I$10</f>
        <v>2518082.1238938058</v>
      </c>
      <c r="T135" s="66">
        <f>Inputs!T22*'Scenario D'!$I$10</f>
        <v>2518082.1238938058</v>
      </c>
      <c r="U135" s="66">
        <f>Inputs!U22*'Scenario D'!$I$10</f>
        <v>2518082.1238938058</v>
      </c>
      <c r="V135" s="66">
        <f>Inputs!V22*'Scenario D'!$I$10</f>
        <v>2518082.1238938058</v>
      </c>
      <c r="W135" s="66">
        <f>Inputs!W22*'Scenario D'!$I$10</f>
        <v>2518082.1238938058</v>
      </c>
      <c r="X135" s="66">
        <f>Inputs!X22*'Scenario D'!$I$10</f>
        <v>2518082.1238938058</v>
      </c>
      <c r="Y135" s="66">
        <f>Inputs!Y22*'Scenario D'!$I$10</f>
        <v>2518082.1238938058</v>
      </c>
      <c r="Z135" s="66">
        <f>Inputs!Z22*'Scenario D'!$I$10</f>
        <v>2518082.1238938058</v>
      </c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</row>
    <row r="136" spans="1:57" x14ac:dyDescent="0.2">
      <c r="A136" s="46"/>
      <c r="B136" s="46"/>
      <c r="C136" s="47"/>
      <c r="D136" s="48" t="s">
        <v>177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66">
        <f>(O135&lt;&gt;0)*1</f>
        <v>0</v>
      </c>
      <c r="P136" s="66">
        <f t="shared" ref="P136:Z136" si="15">(P135&lt;&gt;0)*1</f>
        <v>1</v>
      </c>
      <c r="Q136" s="66">
        <f t="shared" si="15"/>
        <v>1</v>
      </c>
      <c r="R136" s="66">
        <f t="shared" si="15"/>
        <v>1</v>
      </c>
      <c r="S136" s="66">
        <f t="shared" si="15"/>
        <v>1</v>
      </c>
      <c r="T136" s="66">
        <f t="shared" si="15"/>
        <v>1</v>
      </c>
      <c r="U136" s="66">
        <f t="shared" si="15"/>
        <v>1</v>
      </c>
      <c r="V136" s="66">
        <f t="shared" si="15"/>
        <v>1</v>
      </c>
      <c r="W136" s="66">
        <f t="shared" si="15"/>
        <v>1</v>
      </c>
      <c r="X136" s="66">
        <f t="shared" si="15"/>
        <v>1</v>
      </c>
      <c r="Y136" s="66">
        <f t="shared" si="15"/>
        <v>1</v>
      </c>
      <c r="Z136" s="66">
        <f t="shared" si="15"/>
        <v>1</v>
      </c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</row>
    <row r="137" spans="1:57" x14ac:dyDescent="0.2">
      <c r="A137" s="46"/>
      <c r="B137" s="46"/>
      <c r="C137" s="47"/>
      <c r="D137" s="48" t="s">
        <v>178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53">
        <f>(O136=1)*(1+Inputs!$J$11)^(SUM(O136:$Z136)-1)</f>
        <v>0</v>
      </c>
      <c r="P137" s="53">
        <f>(P136=1)*(1+Inputs!$J$11)^(SUM(P136:$Z136)-1)</f>
        <v>1.311651032586773</v>
      </c>
      <c r="Q137" s="53">
        <f>(Q136=1)*(1+Inputs!$J$11)^(SUM(Q136:$Z136)-1)</f>
        <v>1.2765460171160807</v>
      </c>
      <c r="R137" s="53">
        <f>(R136=1)*(1+Inputs!$J$11)^(SUM(R136:$Z136)-1)</f>
        <v>1.2423805519377913</v>
      </c>
      <c r="S137" s="53">
        <f>(S136=1)*(1+Inputs!$J$11)^(SUM(S136:$Z136)-1)</f>
        <v>1.2091294909370232</v>
      </c>
      <c r="T137" s="53">
        <f>(T136=1)*(1+Inputs!$J$11)^(SUM(T136:$Z136)-1)</f>
        <v>1.1767683610092683</v>
      </c>
      <c r="U137" s="53">
        <f>(U136=1)*(1+Inputs!$J$11)^(SUM(U136:$Z136)-1)</f>
        <v>1.1452733440479497</v>
      </c>
      <c r="V137" s="53">
        <f>(V136=1)*(1+Inputs!$J$11)^(SUM(V136:$Z136)-1)</f>
        <v>1.1146212594140628</v>
      </c>
      <c r="W137" s="53">
        <f>(W136=1)*(1+Inputs!$J$11)^(SUM(W136:$Z136)-1)</f>
        <v>1.0847895468750002</v>
      </c>
      <c r="X137" s="53">
        <f>(X136=1)*(1+Inputs!$J$11)^(SUM(X136:$Z136)-1)</f>
        <v>1.0557562500000002</v>
      </c>
      <c r="Y137" s="53">
        <f>(Y136=1)*(1+Inputs!$J$11)^(SUM(Y136:$Z136)-1)</f>
        <v>1.0275000000000001</v>
      </c>
      <c r="Z137" s="53">
        <f>(Z136=1)*(1+Inputs!$J$11)^(SUM(Z136:$Z136)-1)</f>
        <v>1</v>
      </c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</row>
    <row r="138" spans="1:57" x14ac:dyDescent="0.2">
      <c r="A138" s="46"/>
      <c r="B138" s="46"/>
      <c r="C138" s="47"/>
      <c r="D138" s="48" t="s">
        <v>179</v>
      </c>
      <c r="E138" s="48"/>
      <c r="F138" s="48"/>
      <c r="G138" s="48"/>
      <c r="H138" s="48"/>
      <c r="I138" s="48"/>
      <c r="J138" s="66">
        <f>PMT(Inputs!$J$11,Inputs!$J$12,-SUMPRODUCT('Scenario D'!O135:Z135,'Scenario D'!O137:Z137),0,0)</f>
        <v>1120830.100425198</v>
      </c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</row>
    <row r="139" spans="1:57" x14ac:dyDescent="0.2">
      <c r="A139" s="46"/>
      <c r="B139" s="46"/>
      <c r="C139" s="47"/>
      <c r="D139" s="48" t="s">
        <v>180</v>
      </c>
      <c r="E139" s="48"/>
      <c r="F139" s="48"/>
      <c r="G139" s="48"/>
      <c r="H139" s="48"/>
      <c r="I139" s="48"/>
      <c r="J139" s="66">
        <f>Inputs!K27*$I$11</f>
        <v>0</v>
      </c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</row>
    <row r="140" spans="1:57" x14ac:dyDescent="0.2">
      <c r="A140" s="46"/>
      <c r="B140" s="46"/>
      <c r="C140" s="47"/>
      <c r="D140" s="48" t="s">
        <v>181</v>
      </c>
      <c r="E140" s="48"/>
      <c r="F140" s="48"/>
      <c r="G140" s="48"/>
      <c r="H140" s="48"/>
      <c r="I140" s="48"/>
      <c r="J140" s="66">
        <f>SUM(J138:J139)</f>
        <v>1120830.100425198</v>
      </c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</row>
    <row r="141" spans="1:57" x14ac:dyDescent="0.2">
      <c r="A141" s="46"/>
      <c r="B141" s="46"/>
      <c r="C141" s="47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</row>
    <row r="142" spans="1:57" x14ac:dyDescent="0.2">
      <c r="A142" s="49" t="s">
        <v>182</v>
      </c>
      <c r="B142" s="49"/>
      <c r="C142" s="50"/>
      <c r="D142" s="51"/>
      <c r="E142" s="51"/>
      <c r="F142" s="51"/>
      <c r="G142" s="51"/>
      <c r="H142" s="51"/>
      <c r="I142" s="51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</row>
    <row r="143" spans="1:57" x14ac:dyDescent="0.2">
      <c r="A143" s="46"/>
      <c r="B143" s="46"/>
      <c r="C143" s="47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</row>
    <row r="144" spans="1:57" x14ac:dyDescent="0.2">
      <c r="A144" s="46"/>
      <c r="B144" s="46" t="s">
        <v>183</v>
      </c>
      <c r="C144" s="47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</row>
    <row r="145" spans="1:57" x14ac:dyDescent="0.2">
      <c r="A145" s="46"/>
      <c r="B145" s="46"/>
      <c r="C145" s="47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</row>
    <row r="146" spans="1:57" x14ac:dyDescent="0.2">
      <c r="A146" s="46"/>
      <c r="B146" s="46"/>
      <c r="C146" s="47" t="s">
        <v>8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79">
        <f t="shared" ref="O146:Z146" si="16">O2</f>
        <v>2019</v>
      </c>
      <c r="P146" s="79">
        <f t="shared" si="16"/>
        <v>2020</v>
      </c>
      <c r="Q146" s="79">
        <f t="shared" si="16"/>
        <v>2021</v>
      </c>
      <c r="R146" s="79">
        <f t="shared" si="16"/>
        <v>2022</v>
      </c>
      <c r="S146" s="79">
        <f t="shared" si="16"/>
        <v>2023</v>
      </c>
      <c r="T146" s="79">
        <f t="shared" si="16"/>
        <v>2024</v>
      </c>
      <c r="U146" s="79">
        <f t="shared" si="16"/>
        <v>2025</v>
      </c>
      <c r="V146" s="79">
        <f t="shared" si="16"/>
        <v>2026</v>
      </c>
      <c r="W146" s="79">
        <f t="shared" si="16"/>
        <v>2027</v>
      </c>
      <c r="X146" s="79">
        <f t="shared" si="16"/>
        <v>2028</v>
      </c>
      <c r="Y146" s="79">
        <f t="shared" si="16"/>
        <v>2029</v>
      </c>
      <c r="Z146" s="79">
        <f t="shared" si="16"/>
        <v>2030</v>
      </c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</row>
    <row r="147" spans="1:57" x14ac:dyDescent="0.2">
      <c r="A147" s="46"/>
      <c r="B147" s="46"/>
      <c r="C147" s="47"/>
      <c r="D147" s="48" t="s">
        <v>184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66">
        <f>O128</f>
        <v>548380.58000000007</v>
      </c>
      <c r="P147" s="66">
        <f t="shared" ref="P147:Z147" si="17">P128</f>
        <v>602588.58000000007</v>
      </c>
      <c r="Q147" s="66">
        <f t="shared" si="17"/>
        <v>663178.56000000017</v>
      </c>
      <c r="R147" s="66">
        <f t="shared" si="17"/>
        <v>729665.8600000001</v>
      </c>
      <c r="S147" s="66">
        <f t="shared" si="17"/>
        <v>802616.54</v>
      </c>
      <c r="T147" s="66">
        <f t="shared" si="17"/>
        <v>882433.8600000001</v>
      </c>
      <c r="U147" s="66">
        <f t="shared" si="17"/>
        <v>970653.20000000019</v>
      </c>
      <c r="V147" s="66">
        <f t="shared" si="17"/>
        <v>1067677.82</v>
      </c>
      <c r="W147" s="66">
        <f t="shared" si="17"/>
        <v>1174639.8400000001</v>
      </c>
      <c r="X147" s="66">
        <f t="shared" si="17"/>
        <v>1291861.1200000003</v>
      </c>
      <c r="Y147" s="66">
        <f t="shared" si="17"/>
        <v>1421443.1000000003</v>
      </c>
      <c r="Z147" s="66">
        <f t="shared" si="17"/>
        <v>1563385.7800000003</v>
      </c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</row>
    <row r="148" spans="1:57" x14ac:dyDescent="0.2">
      <c r="A148" s="46"/>
      <c r="B148" s="46"/>
      <c r="C148" s="47"/>
      <c r="D148" s="48" t="s">
        <v>174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66">
        <f>$J$140</f>
        <v>1120830.100425198</v>
      </c>
      <c r="P148" s="66">
        <f t="shared" ref="P148:Z148" si="18">$J$140</f>
        <v>1120830.100425198</v>
      </c>
      <c r="Q148" s="66">
        <f t="shared" si="18"/>
        <v>1120830.100425198</v>
      </c>
      <c r="R148" s="66">
        <f t="shared" si="18"/>
        <v>1120830.100425198</v>
      </c>
      <c r="S148" s="66">
        <f t="shared" si="18"/>
        <v>1120830.100425198</v>
      </c>
      <c r="T148" s="66">
        <f t="shared" si="18"/>
        <v>1120830.100425198</v>
      </c>
      <c r="U148" s="66">
        <f t="shared" si="18"/>
        <v>1120830.100425198</v>
      </c>
      <c r="V148" s="66">
        <f t="shared" si="18"/>
        <v>1120830.100425198</v>
      </c>
      <c r="W148" s="66">
        <f t="shared" si="18"/>
        <v>1120830.100425198</v>
      </c>
      <c r="X148" s="66">
        <f t="shared" si="18"/>
        <v>1120830.100425198</v>
      </c>
      <c r="Y148" s="66">
        <f t="shared" si="18"/>
        <v>1120830.100425198</v>
      </c>
      <c r="Z148" s="66">
        <f t="shared" si="18"/>
        <v>1120830.100425198</v>
      </c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</row>
    <row r="149" spans="1:57" x14ac:dyDescent="0.2">
      <c r="A149" s="46"/>
      <c r="B149" s="46"/>
      <c r="C149" s="47"/>
      <c r="D149" s="48" t="s">
        <v>185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91" t="b">
        <f>(O147&gt;=O148)</f>
        <v>0</v>
      </c>
      <c r="P149" s="91" t="b">
        <f t="shared" ref="P149:Z149" si="19">(P147&gt;=P148)</f>
        <v>0</v>
      </c>
      <c r="Q149" s="91" t="b">
        <f t="shared" si="19"/>
        <v>0</v>
      </c>
      <c r="R149" s="91" t="b">
        <f t="shared" si="19"/>
        <v>0</v>
      </c>
      <c r="S149" s="91" t="b">
        <f t="shared" si="19"/>
        <v>0</v>
      </c>
      <c r="T149" s="91" t="b">
        <f t="shared" si="19"/>
        <v>0</v>
      </c>
      <c r="U149" s="91" t="b">
        <f t="shared" si="19"/>
        <v>0</v>
      </c>
      <c r="V149" s="91" t="b">
        <f t="shared" si="19"/>
        <v>0</v>
      </c>
      <c r="W149" s="91" t="b">
        <f t="shared" si="19"/>
        <v>1</v>
      </c>
      <c r="X149" s="91" t="b">
        <f t="shared" si="19"/>
        <v>1</v>
      </c>
      <c r="Y149" s="91" t="b">
        <f t="shared" si="19"/>
        <v>1</v>
      </c>
      <c r="Z149" s="91" t="b">
        <f t="shared" si="19"/>
        <v>1</v>
      </c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</row>
    <row r="150" spans="1:57" x14ac:dyDescent="0.2">
      <c r="A150" s="46"/>
      <c r="B150" s="46"/>
      <c r="C150" s="47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</row>
    <row r="151" spans="1:57" x14ac:dyDescent="0.2">
      <c r="A151" s="49" t="s">
        <v>147</v>
      </c>
      <c r="B151" s="49"/>
      <c r="C151" s="50"/>
      <c r="D151" s="51"/>
      <c r="E151" s="51"/>
      <c r="F151" s="51"/>
      <c r="G151" s="51"/>
      <c r="H151" s="51"/>
      <c r="I151" s="51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>
      <selection activeCell="Z10" sqref="Z10"/>
    </sheetView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CBD Cable Pits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182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183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184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493072.80000000005</v>
      </c>
      <c r="P9" s="19">
        <f>'Base Case'!P147</f>
        <v>541813.80000000005</v>
      </c>
      <c r="Q9" s="19">
        <f>'Base Case'!Q147</f>
        <v>596292.60000000009</v>
      </c>
      <c r="R9" s="19">
        <f>'Base Case'!R147</f>
        <v>656073.60000000009</v>
      </c>
      <c r="S9" s="19">
        <f>'Base Case'!S147</f>
        <v>721667.4</v>
      </c>
      <c r="T9" s="19">
        <f>'Base Case'!T147</f>
        <v>793434.60000000009</v>
      </c>
      <c r="U9" s="19">
        <f>'Base Case'!U147</f>
        <v>872757</v>
      </c>
      <c r="V9" s="19">
        <f>'Base Case'!V147</f>
        <v>959995.20000000007</v>
      </c>
      <c r="W9" s="19">
        <f>'Base Case'!W147</f>
        <v>1056170.4000000001</v>
      </c>
      <c r="X9" s="19">
        <f>'Base Case'!X147</f>
        <v>1161568.2000000002</v>
      </c>
      <c r="Y9" s="19">
        <f>'Base Case'!Y147</f>
        <v>1278081</v>
      </c>
      <c r="Z9" s="19">
        <f>'Base Case'!Z147</f>
        <v>1405708.8000000003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174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1245366.7782502202</v>
      </c>
      <c r="P10" s="19">
        <f>'Base Case'!P148</f>
        <v>1245366.7782502202</v>
      </c>
      <c r="Q10" s="19">
        <f>'Base Case'!Q148</f>
        <v>1245366.7782502202</v>
      </c>
      <c r="R10" s="19">
        <f>'Base Case'!R148</f>
        <v>1245366.7782502202</v>
      </c>
      <c r="S10" s="19">
        <f>'Base Case'!S148</f>
        <v>1245366.7782502202</v>
      </c>
      <c r="T10" s="19">
        <f>'Base Case'!T148</f>
        <v>1245366.7782502202</v>
      </c>
      <c r="U10" s="19">
        <f>'Base Case'!U148</f>
        <v>1245366.7782502202</v>
      </c>
      <c r="V10" s="19">
        <f>'Base Case'!V148</f>
        <v>1245366.7782502202</v>
      </c>
      <c r="W10" s="19">
        <f>'Base Case'!W148</f>
        <v>1245366.7782502202</v>
      </c>
      <c r="X10" s="19">
        <f>'Base Case'!X148</f>
        <v>1245366.7782502202</v>
      </c>
      <c r="Y10" s="19">
        <f>'Base Case'!Y148</f>
        <v>1245366.7782502202</v>
      </c>
      <c r="Z10" s="19">
        <f>'Base Case'!Z148</f>
        <v>1245366.7782502202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4">
        <f>'Scenario A'!O147</f>
        <v>438856.02</v>
      </c>
      <c r="P11" s="34">
        <f>'Scenario A'!P147</f>
        <v>482237.82000000007</v>
      </c>
      <c r="Q11" s="34">
        <f>'Scenario A'!Q147</f>
        <v>530726.04</v>
      </c>
      <c r="R11" s="34">
        <f>'Scenario A'!R147</f>
        <v>583933.14000000013</v>
      </c>
      <c r="S11" s="34">
        <f>'Scenario A'!S147</f>
        <v>642315.06000000006</v>
      </c>
      <c r="T11" s="34">
        <f>'Scenario A'!T147</f>
        <v>706190.94000000006</v>
      </c>
      <c r="U11" s="34">
        <f>'Scenario A'!U147</f>
        <v>776791.8</v>
      </c>
      <c r="V11" s="34">
        <f>'Scenario A'!V147</f>
        <v>854436.78</v>
      </c>
      <c r="W11" s="34">
        <f>'Scenario A'!W147</f>
        <v>940037.76</v>
      </c>
      <c r="X11" s="34">
        <f>'Scenario A'!X147</f>
        <v>1033845.4800000002</v>
      </c>
      <c r="Y11" s="34">
        <f>'Scenario A'!Y147</f>
        <v>1137546.9000000001</v>
      </c>
      <c r="Z11" s="34">
        <f>'Scenario A'!Z147</f>
        <v>1251142.0200000003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4">
        <f>'Scenario A'!O148</f>
        <v>1369903.4560752423</v>
      </c>
      <c r="P12" s="34">
        <f>'Scenario A'!P148</f>
        <v>1369903.4560752423</v>
      </c>
      <c r="Q12" s="34">
        <f>'Scenario A'!Q148</f>
        <v>1369903.4560752423</v>
      </c>
      <c r="R12" s="34">
        <f>'Scenario A'!R148</f>
        <v>1369903.4560752423</v>
      </c>
      <c r="S12" s="34">
        <f>'Scenario A'!S148</f>
        <v>1369903.4560752423</v>
      </c>
      <c r="T12" s="34">
        <f>'Scenario A'!T148</f>
        <v>1369903.4560752423</v>
      </c>
      <c r="U12" s="34">
        <f>'Scenario A'!U148</f>
        <v>1369903.4560752423</v>
      </c>
      <c r="V12" s="34">
        <f>'Scenario A'!V148</f>
        <v>1369903.4560752423</v>
      </c>
      <c r="W12" s="34">
        <f>'Scenario A'!W148</f>
        <v>1369903.4560752423</v>
      </c>
      <c r="X12" s="34">
        <f>'Scenario A'!X148</f>
        <v>1369903.4560752423</v>
      </c>
      <c r="Y12" s="34">
        <f>'Scenario A'!Y148</f>
        <v>1369903.4560752423</v>
      </c>
      <c r="Z12" s="34">
        <f>'Scenario A'!Z148</f>
        <v>1369903.4560752423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4">
        <f>'Scenario B'!O147</f>
        <v>428641.02</v>
      </c>
      <c r="P13" s="34">
        <f>'Scenario B'!P147</f>
        <v>471013.02000000014</v>
      </c>
      <c r="Q13" s="34">
        <f>'Scenario B'!Q147</f>
        <v>518372.64000000013</v>
      </c>
      <c r="R13" s="34">
        <f>'Scenario B'!R147</f>
        <v>570341.34000000008</v>
      </c>
      <c r="S13" s="34">
        <f>'Scenario B'!S147</f>
        <v>627364.26000000013</v>
      </c>
      <c r="T13" s="34">
        <f>'Scenario B'!T147</f>
        <v>689753.34000000008</v>
      </c>
      <c r="U13" s="34">
        <f>'Scenario B'!U147</f>
        <v>758710.8</v>
      </c>
      <c r="V13" s="34">
        <f>'Scenario B'!V147</f>
        <v>834548.58000000007</v>
      </c>
      <c r="W13" s="34">
        <f>'Scenario B'!W147</f>
        <v>918156.96000000008</v>
      </c>
      <c r="X13" s="34">
        <f>'Scenario B'!X147</f>
        <v>1009781.2800000001</v>
      </c>
      <c r="Y13" s="34">
        <f>'Scenario B'!Y147</f>
        <v>1111068.9000000001</v>
      </c>
      <c r="Z13" s="34">
        <f>'Scenario B'!Z147</f>
        <v>1222019.8200000003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4">
        <f>'Scenario B'!O148</f>
        <v>1120830.100425198</v>
      </c>
      <c r="P14" s="34">
        <f>'Scenario B'!P148</f>
        <v>1120830.100425198</v>
      </c>
      <c r="Q14" s="34">
        <f>'Scenario B'!Q148</f>
        <v>1120830.100425198</v>
      </c>
      <c r="R14" s="34">
        <f>'Scenario B'!R148</f>
        <v>1120830.100425198</v>
      </c>
      <c r="S14" s="34">
        <f>'Scenario B'!S148</f>
        <v>1120830.100425198</v>
      </c>
      <c r="T14" s="34">
        <f>'Scenario B'!T148</f>
        <v>1120830.100425198</v>
      </c>
      <c r="U14" s="34">
        <f>'Scenario B'!U148</f>
        <v>1120830.100425198</v>
      </c>
      <c r="V14" s="34">
        <f>'Scenario B'!V148</f>
        <v>1120830.100425198</v>
      </c>
      <c r="W14" s="34">
        <f>'Scenario B'!W148</f>
        <v>1120830.100425198</v>
      </c>
      <c r="X14" s="34">
        <f>'Scenario B'!X148</f>
        <v>1120830.100425198</v>
      </c>
      <c r="Y14" s="34">
        <f>'Scenario B'!Y148</f>
        <v>1120830.100425198</v>
      </c>
      <c r="Z14" s="34">
        <f>'Scenario B'!Z148</f>
        <v>1120830.100425198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4">
        <f>'Scenario C'!O147</f>
        <v>560865.58000000007</v>
      </c>
      <c r="P15" s="34">
        <f>'Scenario C'!P147</f>
        <v>616307.78000000014</v>
      </c>
      <c r="Q15" s="34">
        <f>'Scenario C'!Q147</f>
        <v>678277.16000000015</v>
      </c>
      <c r="R15" s="34">
        <f>'Scenario C'!R147</f>
        <v>746278.06000000017</v>
      </c>
      <c r="S15" s="34">
        <f>'Scenario C'!S147</f>
        <v>820889.74000000011</v>
      </c>
      <c r="T15" s="34">
        <f>'Scenario C'!T147</f>
        <v>902524.26000000013</v>
      </c>
      <c r="U15" s="34">
        <f>'Scenario C'!U147</f>
        <v>992752.20000000019</v>
      </c>
      <c r="V15" s="34">
        <f>'Scenario C'!V147</f>
        <v>1091985.6200000001</v>
      </c>
      <c r="W15" s="34">
        <f>'Scenario C'!W147</f>
        <v>1201383.04</v>
      </c>
      <c r="X15" s="34">
        <f>'Scenario C'!X147</f>
        <v>1321272.9200000004</v>
      </c>
      <c r="Y15" s="34">
        <f>'Scenario C'!Y147</f>
        <v>1453805.1000000003</v>
      </c>
      <c r="Z15" s="34">
        <f>'Scenario C'!Z147</f>
        <v>1598979.5800000003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4">
        <f>'Scenario C'!O148</f>
        <v>1369903.4560752423</v>
      </c>
      <c r="P16" s="34">
        <f>'Scenario C'!P148</f>
        <v>1369903.4560752423</v>
      </c>
      <c r="Q16" s="34">
        <f>'Scenario C'!Q148</f>
        <v>1369903.4560752423</v>
      </c>
      <c r="R16" s="34">
        <f>'Scenario C'!R148</f>
        <v>1369903.4560752423</v>
      </c>
      <c r="S16" s="34">
        <f>'Scenario C'!S148</f>
        <v>1369903.4560752423</v>
      </c>
      <c r="T16" s="34">
        <f>'Scenario C'!T148</f>
        <v>1369903.4560752423</v>
      </c>
      <c r="U16" s="34">
        <f>'Scenario C'!U148</f>
        <v>1369903.4560752423</v>
      </c>
      <c r="V16" s="34">
        <f>'Scenario C'!V148</f>
        <v>1369903.4560752423</v>
      </c>
      <c r="W16" s="34">
        <f>'Scenario C'!W148</f>
        <v>1369903.4560752423</v>
      </c>
      <c r="X16" s="34">
        <f>'Scenario C'!X148</f>
        <v>1369903.4560752423</v>
      </c>
      <c r="Y16" s="34">
        <f>'Scenario C'!Y148</f>
        <v>1369903.4560752423</v>
      </c>
      <c r="Z16" s="34">
        <f>'Scenario C'!Z148</f>
        <v>1369903.4560752423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4">
        <f>'Scenario D'!O147</f>
        <v>548380.58000000007</v>
      </c>
      <c r="P17" s="34">
        <f>'Scenario D'!P147</f>
        <v>602588.58000000007</v>
      </c>
      <c r="Q17" s="34">
        <f>'Scenario D'!Q147</f>
        <v>663178.56000000017</v>
      </c>
      <c r="R17" s="34">
        <f>'Scenario D'!R147</f>
        <v>729665.8600000001</v>
      </c>
      <c r="S17" s="34">
        <f>'Scenario D'!S147</f>
        <v>802616.54</v>
      </c>
      <c r="T17" s="34">
        <f>'Scenario D'!T147</f>
        <v>882433.8600000001</v>
      </c>
      <c r="U17" s="34">
        <f>'Scenario D'!U147</f>
        <v>970653.20000000019</v>
      </c>
      <c r="V17" s="34">
        <f>'Scenario D'!V147</f>
        <v>1067677.82</v>
      </c>
      <c r="W17" s="34">
        <f>'Scenario D'!W147</f>
        <v>1174639.8400000001</v>
      </c>
      <c r="X17" s="34">
        <f>'Scenario D'!X147</f>
        <v>1291861.1200000003</v>
      </c>
      <c r="Y17" s="34">
        <f>'Scenario D'!Y147</f>
        <v>1421443.1000000003</v>
      </c>
      <c r="Z17" s="34">
        <f>'Scenario D'!Z147</f>
        <v>1563385.7800000003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4">
        <f>'Scenario D'!O148</f>
        <v>1120830.100425198</v>
      </c>
      <c r="P18" s="34">
        <f>'Scenario D'!P148</f>
        <v>1120830.100425198</v>
      </c>
      <c r="Q18" s="34">
        <f>'Scenario D'!Q148</f>
        <v>1120830.100425198</v>
      </c>
      <c r="R18" s="34">
        <f>'Scenario D'!R148</f>
        <v>1120830.100425198</v>
      </c>
      <c r="S18" s="34">
        <f>'Scenario D'!S148</f>
        <v>1120830.100425198</v>
      </c>
      <c r="T18" s="34">
        <f>'Scenario D'!T148</f>
        <v>1120830.100425198</v>
      </c>
      <c r="U18" s="34">
        <f>'Scenario D'!U148</f>
        <v>1120830.100425198</v>
      </c>
      <c r="V18" s="34">
        <f>'Scenario D'!V148</f>
        <v>1120830.100425198</v>
      </c>
      <c r="W18" s="34">
        <f>'Scenario D'!W148</f>
        <v>1120830.100425198</v>
      </c>
      <c r="X18" s="34">
        <f>'Scenario D'!X148</f>
        <v>1120830.100425198</v>
      </c>
      <c r="Y18" s="34">
        <f>'Scenario D'!Y148</f>
        <v>1120830.100425198</v>
      </c>
      <c r="Z18" s="34">
        <f>'Scenario D'!Z148</f>
        <v>1120830.100425198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186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ht="13.15" x14ac:dyDescent="0.4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ht="13.15" x14ac:dyDescent="0.4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ht="13.15" x14ac:dyDescent="0.4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ht="13.15" x14ac:dyDescent="0.4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ht="13.15" x14ac:dyDescent="0.4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147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2019-10-23T03:43:54Z</dcterms:created>
  <dcterms:modified xsi:type="dcterms:W3CDTF">2020-01-28T00:26:28Z</dcterms:modified>
</cp:coreProperties>
</file>