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" sheetId="72" r:id="rId1"/>
    <sheet name="Summary" sheetId="70" r:id="rId2"/>
    <sheet name="Assumptions" sheetId="74" r:id="rId3"/>
    <sheet name="Option 1" sheetId="69" r:id="rId4"/>
  </sheets>
  <definedNames>
    <definedName name="Conv_2021">Assumptions!$B$18</definedName>
    <definedName name="Option0_categories">#REF!</definedName>
    <definedName name="Option0_costs">#REF!</definedName>
    <definedName name="Option1_categories">'Option 1'!$C$43:$C$48</definedName>
    <definedName name="Option1_costs">'Option 1'!$P$43:$T$48</definedName>
    <definedName name="Option2_categories">#REF!</definedName>
    <definedName name="Option2_costs">#REF!</definedName>
    <definedName name="_xlnm.Print_Area" localSheetId="1">Summary!$A$1:$J$28</definedName>
    <definedName name="years">'Option 1'!$P$8:$T$8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0" i="69" l="1"/>
  <c r="P11" i="69"/>
  <c r="P12" i="69"/>
  <c r="P13" i="69"/>
  <c r="P14" i="69"/>
  <c r="P15" i="69"/>
  <c r="P16" i="69"/>
  <c r="P17" i="69"/>
  <c r="P18" i="69"/>
  <c r="P19" i="69"/>
  <c r="P20" i="69"/>
  <c r="P21" i="69"/>
  <c r="P24" i="69"/>
  <c r="P25" i="69"/>
  <c r="P26" i="69"/>
  <c r="P27" i="69"/>
  <c r="P28" i="69"/>
  <c r="P29" i="69"/>
  <c r="P30" i="69"/>
  <c r="P31" i="69"/>
  <c r="P32" i="69"/>
  <c r="P33" i="69"/>
  <c r="P36" i="69"/>
  <c r="P37" i="69"/>
  <c r="P38" i="69"/>
  <c r="P39" i="69"/>
  <c r="P43" i="69"/>
  <c r="P44" i="69"/>
  <c r="P45" i="69"/>
  <c r="P46" i="69"/>
  <c r="P47" i="69"/>
  <c r="P48" i="69"/>
  <c r="P49" i="69"/>
  <c r="P51" i="69"/>
  <c r="Q10" i="69"/>
  <c r="Q11" i="69"/>
  <c r="Q12" i="69"/>
  <c r="Q13" i="69"/>
  <c r="Q14" i="69"/>
  <c r="Q15" i="69"/>
  <c r="Q16" i="69"/>
  <c r="Q17" i="69"/>
  <c r="Q18" i="69"/>
  <c r="Q19" i="69"/>
  <c r="Q20" i="69"/>
  <c r="Q21" i="69"/>
  <c r="Q24" i="69"/>
  <c r="Q25" i="69"/>
  <c r="Q26" i="69"/>
  <c r="Q27" i="69"/>
  <c r="Q28" i="69"/>
  <c r="Q29" i="69"/>
  <c r="Q30" i="69"/>
  <c r="Q31" i="69"/>
  <c r="Q32" i="69"/>
  <c r="Q33" i="69"/>
  <c r="Q36" i="69"/>
  <c r="Q37" i="69"/>
  <c r="Q38" i="69"/>
  <c r="Q39" i="69"/>
  <c r="Q43" i="69"/>
  <c r="Q44" i="69"/>
  <c r="Q45" i="69"/>
  <c r="Q46" i="69"/>
  <c r="Q47" i="69"/>
  <c r="Q48" i="69"/>
  <c r="Q49" i="69"/>
  <c r="Q51" i="69"/>
  <c r="R10" i="69"/>
  <c r="R11" i="69"/>
  <c r="R12" i="69"/>
  <c r="R13" i="69"/>
  <c r="R14" i="69"/>
  <c r="R15" i="69"/>
  <c r="R16" i="69"/>
  <c r="R17" i="69"/>
  <c r="R18" i="69"/>
  <c r="R19" i="69"/>
  <c r="R20" i="69"/>
  <c r="R21" i="69"/>
  <c r="R24" i="69"/>
  <c r="R25" i="69"/>
  <c r="R26" i="69"/>
  <c r="R27" i="69"/>
  <c r="R28" i="69"/>
  <c r="R29" i="69"/>
  <c r="R30" i="69"/>
  <c r="R31" i="69"/>
  <c r="R32" i="69"/>
  <c r="R33" i="69"/>
  <c r="R36" i="69"/>
  <c r="R37" i="69"/>
  <c r="R38" i="69"/>
  <c r="R39" i="69"/>
  <c r="R43" i="69"/>
  <c r="R44" i="69"/>
  <c r="R45" i="69"/>
  <c r="R46" i="69"/>
  <c r="R47" i="69"/>
  <c r="R48" i="69"/>
  <c r="R49" i="69"/>
  <c r="R51" i="69"/>
  <c r="S10" i="69"/>
  <c r="S11" i="69"/>
  <c r="S12" i="69"/>
  <c r="S13" i="69"/>
  <c r="S14" i="69"/>
  <c r="S15" i="69"/>
  <c r="S16" i="69"/>
  <c r="S17" i="69"/>
  <c r="S18" i="69"/>
  <c r="S19" i="69"/>
  <c r="S20" i="69"/>
  <c r="S21" i="69"/>
  <c r="S24" i="69"/>
  <c r="S25" i="69"/>
  <c r="S26" i="69"/>
  <c r="S27" i="69"/>
  <c r="S28" i="69"/>
  <c r="S29" i="69"/>
  <c r="S30" i="69"/>
  <c r="S31" i="69"/>
  <c r="S32" i="69"/>
  <c r="S33" i="69"/>
  <c r="S36" i="69"/>
  <c r="S37" i="69"/>
  <c r="S38" i="69"/>
  <c r="S39" i="69"/>
  <c r="S43" i="69"/>
  <c r="S44" i="69"/>
  <c r="S45" i="69"/>
  <c r="S46" i="69"/>
  <c r="S47" i="69"/>
  <c r="S48" i="69"/>
  <c r="S49" i="69"/>
  <c r="S51" i="69"/>
  <c r="T10" i="69"/>
  <c r="T11" i="69"/>
  <c r="T12" i="69"/>
  <c r="T13" i="69"/>
  <c r="T14" i="69"/>
  <c r="T15" i="69"/>
  <c r="T16" i="69"/>
  <c r="T17" i="69"/>
  <c r="T18" i="69"/>
  <c r="T19" i="69"/>
  <c r="T20" i="69"/>
  <c r="T21" i="69"/>
  <c r="T24" i="69"/>
  <c r="T25" i="69"/>
  <c r="T26" i="69"/>
  <c r="T27" i="69"/>
  <c r="T28" i="69"/>
  <c r="T29" i="69"/>
  <c r="T30" i="69"/>
  <c r="T31" i="69"/>
  <c r="T32" i="69"/>
  <c r="T33" i="69"/>
  <c r="T36" i="69"/>
  <c r="T37" i="69"/>
  <c r="T38" i="69"/>
  <c r="T39" i="69"/>
  <c r="T43" i="69"/>
  <c r="T44" i="69"/>
  <c r="T45" i="69"/>
  <c r="T46" i="69"/>
  <c r="T47" i="69"/>
  <c r="T48" i="69"/>
  <c r="T49" i="69"/>
  <c r="T51" i="69"/>
  <c r="V3" i="69"/>
  <c r="E14" i="74"/>
  <c r="A23" i="74"/>
  <c r="A5" i="69"/>
  <c r="B16" i="74"/>
  <c r="C53" i="69"/>
  <c r="D13" i="70"/>
  <c r="D12" i="70"/>
  <c r="D11" i="70"/>
  <c r="G10" i="72"/>
  <c r="H10" i="72"/>
  <c r="J10" i="72"/>
  <c r="K10" i="72"/>
  <c r="M10" i="72"/>
  <c r="N10" i="72"/>
  <c r="P10" i="72"/>
  <c r="Q10" i="72"/>
  <c r="S10" i="72"/>
  <c r="T10" i="72"/>
  <c r="V10" i="72"/>
  <c r="W10" i="72"/>
  <c r="X10" i="72"/>
  <c r="Y10" i="72"/>
  <c r="Z10" i="72"/>
  <c r="C50" i="69"/>
  <c r="C49" i="69"/>
  <c r="A2" i="69"/>
  <c r="A1" i="69"/>
  <c r="A2" i="72"/>
  <c r="A1" i="72"/>
  <c r="A2" i="70"/>
  <c r="A1" i="70"/>
  <c r="D5" i="72"/>
  <c r="D6" i="72"/>
  <c r="D7" i="70"/>
  <c r="F14" i="74"/>
  <c r="G14" i="74"/>
  <c r="H14" i="74"/>
  <c r="I14" i="74"/>
  <c r="J14" i="74"/>
  <c r="B18" i="74"/>
  <c r="S50" i="69"/>
  <c r="T50" i="69"/>
  <c r="Q50" i="69"/>
  <c r="R50" i="69"/>
  <c r="P50" i="69"/>
  <c r="D53" i="69"/>
  <c r="F11" i="70"/>
  <c r="F13" i="70"/>
  <c r="G12" i="70"/>
  <c r="H11" i="70"/>
  <c r="H13" i="70"/>
  <c r="I12" i="70"/>
  <c r="J12" i="70"/>
  <c r="J11" i="70"/>
  <c r="F12" i="70"/>
  <c r="G11" i="70"/>
  <c r="G13" i="70"/>
  <c r="H12" i="70"/>
  <c r="I11" i="70"/>
  <c r="I13" i="70"/>
  <c r="J13" i="70"/>
  <c r="T12" i="72" l="1"/>
  <c r="Q12" i="72"/>
  <c r="I14" i="70"/>
  <c r="O12" i="72"/>
  <c r="M12" i="72"/>
  <c r="K12" i="72"/>
  <c r="G14" i="70"/>
  <c r="I12" i="72"/>
  <c r="G12" i="72"/>
  <c r="R12" i="72"/>
  <c r="Z12" i="72" s="1"/>
  <c r="J14" i="70"/>
  <c r="S12" i="72"/>
  <c r="P12" i="72"/>
  <c r="N12" i="72"/>
  <c r="L12" i="72"/>
  <c r="H14" i="70"/>
  <c r="J12" i="72"/>
  <c r="H12" i="72"/>
  <c r="F12" i="72"/>
  <c r="F14" i="70"/>
  <c r="F16" i="70" s="1"/>
  <c r="W12" i="72" l="1"/>
  <c r="Y12" i="72"/>
  <c r="V12" i="72"/>
  <c r="X12" i="72"/>
  <c r="AB12" i="72" l="1"/>
</calcChain>
</file>

<file path=xl/sharedStrings.xml><?xml version="1.0" encoding="utf-8"?>
<sst xmlns="http://schemas.openxmlformats.org/spreadsheetml/2006/main" count="205" uniqueCount="71">
  <si>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</si>
  <si>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</si>
  <si>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</si>
  <si>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</si>
  <si>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</si>
  <si>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</si>
  <si>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</si>
  <si>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</si>
  <si>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</si>
  <si>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</si>
  <si>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</si>
  <si>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</si>
  <si>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</si>
  <si>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</si>
  <si>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</si>
  <si>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</si>
  <si>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</si>
  <si>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</si>
  <si>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</si>
  <si>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</si>
  <si>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</si>
  <si>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</si>
  <si>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</si>
  <si>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</si>
  <si>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</si>
  <si>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</si>
  <si>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</si>
  <si>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</si>
  <si>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</si>
  <si>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</si>
  <si>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</si>
  <si>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</si>
  <si>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</si>
  <si>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</si>
  <si>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</si>
  <si>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</si>
  <si>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</si>
  <si>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</si>
  <si>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</si>
  <si>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</si>
  <si>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</si>
  <si>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Hours</t>
  </si>
  <si>
    <t>Each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</si>
  <si>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</si>
  <si>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</si>
  <si>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</si>
  <si>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</si>
  <si>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</si>
  <si>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</si>
  <si>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</si>
  <si>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Digital Network</t>
  </si>
  <si>
    <t>Real-Time Grid Analytics Platform</t>
  </si>
  <si>
    <t>Real-Time LV Power Flow Analysis</t>
  </si>
  <si>
    <t>LV Model Extension</t>
  </si>
  <si>
    <t xml:space="preserve">Distributed Energy Marketplace </t>
  </si>
  <si>
    <t>Real-Time Grid Monitoring and Control</t>
  </si>
  <si>
    <t>LV Management Capability</t>
  </si>
  <si>
    <t>Dynamic Forecasting Capability</t>
  </si>
  <si>
    <t>DER - Monitoring Capability</t>
  </si>
  <si>
    <t>DER - Dispatching Automation</t>
  </si>
  <si>
    <t>Real-Time Data Platform</t>
  </si>
  <si>
    <t>IoT Platform for Network Sensors</t>
  </si>
  <si>
    <t>IoT Platform Extension for Customer Sensors</t>
  </si>
  <si>
    <t>Options</t>
  </si>
  <si>
    <t>NPV</t>
  </si>
  <si>
    <t>Dollars</t>
  </si>
  <si>
    <t>CPI</t>
  </si>
  <si>
    <t>Annual CPI - 12 months unlagged</t>
  </si>
  <si>
    <t>Refer to Jacobs Digital Network Model for full options analysis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</si>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</sst>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;[Red]\-&quot;$&quot;#,##0;\ &quot;-&quot;"/>
    <numFmt numFmtId="167" formatCode="&quot;$&quot;#,##0.00;[Red]\-&quot;$&quot;#,##0.00;\ &quot;-&quot;"/>
    <numFmt numFmtId="168" formatCode="#,##0_ ;[Red]\-#,##0;\ &quot;-&quot;"/>
    <numFmt numFmtId="169" formatCode="#,##0_ ;[Red]\-#,##0\ "/>
    <numFmt numFmtId="170" formatCode="&quot;Convert to December&quot;\ ####"/>
    <numFmt numFmtId="171" formatCode="0.00000000000000000"/>
    <numFmt numFmtId="172" formatCode="0.0000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sz val="10"/>
      <color rgb="FF0033CC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6" fontId="12" fillId="0" borderId="1" xfId="0" applyNumberFormat="1" applyFont="1" applyFill="1" applyBorder="1" applyAlignment="1">
      <alignment horizontal="right" vertical="top"/>
    </xf>
    <xf numFmtId="166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6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6" fontId="13" fillId="0" borderId="5" xfId="0" applyNumberFormat="1" applyFont="1" applyFill="1" applyBorder="1" applyAlignment="1">
      <alignment horizontal="right" vertical="top"/>
    </xf>
    <xf numFmtId="166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6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8" fillId="3" borderId="0" xfId="0" applyFont="1" applyFill="1"/>
    <xf numFmtId="0" fontId="19" fillId="3" borderId="0" xfId="0" applyFont="1" applyFill="1"/>
    <xf numFmtId="0" fontId="20" fillId="3" borderId="0" xfId="0" applyFont="1" applyFill="1"/>
    <xf numFmtId="0" fontId="20" fillId="3" borderId="0" xfId="0" applyFont="1" applyFill="1" applyAlignment="1">
      <alignment horizontal="center"/>
    </xf>
    <xf numFmtId="0" fontId="21" fillId="0" borderId="0" xfId="0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6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2" fillId="3" borderId="0" xfId="0" applyFont="1" applyFill="1"/>
    <xf numFmtId="0" fontId="22" fillId="3" borderId="0" xfId="0" applyFont="1" applyFill="1" applyAlignment="1">
      <alignment horizontal="center"/>
    </xf>
    <xf numFmtId="0" fontId="23" fillId="0" borderId="0" xfId="0" applyFont="1"/>
    <xf numFmtId="0" fontId="24" fillId="3" borderId="0" xfId="0" applyFont="1" applyFill="1"/>
    <xf numFmtId="0" fontId="24" fillId="3" borderId="0" xfId="0" applyFont="1" applyFill="1" applyAlignment="1">
      <alignment horizontal="center"/>
    </xf>
    <xf numFmtId="0" fontId="25" fillId="0" borderId="0" xfId="0" applyFont="1"/>
    <xf numFmtId="0" fontId="26" fillId="6" borderId="0" xfId="14" applyFont="1" applyFill="1" applyAlignment="1" applyProtection="1"/>
    <xf numFmtId="0" fontId="26" fillId="6" borderId="0" xfId="14" applyFont="1" applyFill="1" applyProtection="1"/>
    <xf numFmtId="0" fontId="26" fillId="6" borderId="0" xfId="14" applyFont="1" applyFill="1" applyAlignment="1" applyProtection="1">
      <alignment textRotation="2"/>
    </xf>
    <xf numFmtId="0" fontId="26" fillId="6" borderId="0" xfId="14" applyFont="1" applyFill="1" applyBorder="1" applyAlignment="1" applyProtection="1">
      <alignment textRotation="2"/>
    </xf>
    <xf numFmtId="0" fontId="27" fillId="7" borderId="0" xfId="14" applyFont="1" applyFill="1" applyAlignment="1" applyProtection="1"/>
    <xf numFmtId="0" fontId="28" fillId="6" borderId="0" xfId="14" applyFont="1" applyFill="1" applyAlignment="1" applyProtection="1"/>
    <xf numFmtId="0" fontId="28" fillId="6" borderId="0" xfId="14" applyFont="1" applyFill="1" applyProtection="1"/>
    <xf numFmtId="0" fontId="28" fillId="5" borderId="0" xfId="14" applyFont="1" applyFill="1" applyAlignment="1" applyProtection="1"/>
    <xf numFmtId="0" fontId="29" fillId="6" borderId="0" xfId="14" applyFont="1" applyFill="1" applyAlignment="1" applyProtection="1">
      <alignment textRotation="2"/>
    </xf>
    <xf numFmtId="0" fontId="29" fillId="6" borderId="0" xfId="14" applyFont="1" applyFill="1" applyProtection="1"/>
    <xf numFmtId="0" fontId="29" fillId="6" borderId="0" xfId="14" applyFont="1" applyFill="1" applyBorder="1" applyAlignment="1" applyProtection="1">
      <alignment textRotation="2"/>
    </xf>
    <xf numFmtId="0" fontId="29" fillId="6" borderId="0" xfId="14" applyFont="1" applyFill="1" applyAlignment="1" applyProtection="1"/>
    <xf numFmtId="0" fontId="30" fillId="6" borderId="0" xfId="14" applyFont="1" applyFill="1" applyAlignment="1" applyProtection="1"/>
    <xf numFmtId="0" fontId="31" fillId="7" borderId="0" xfId="14" applyFont="1" applyFill="1" applyBorder="1" applyProtection="1"/>
    <xf numFmtId="0" fontId="28" fillId="7" borderId="0" xfId="14" applyFont="1" applyFill="1" applyBorder="1" applyProtection="1"/>
    <xf numFmtId="0" fontId="31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8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1" fillId="6" borderId="0" xfId="14" applyFont="1" applyFill="1" applyAlignment="1" applyProtection="1">
      <alignment horizontal="center"/>
    </xf>
    <xf numFmtId="0" fontId="31" fillId="7" borderId="0" xfId="14" applyFont="1" applyFill="1" applyBorder="1"/>
    <xf numFmtId="3" fontId="31" fillId="7" borderId="0" xfId="14" applyNumberFormat="1" applyFont="1" applyFill="1" applyBorder="1"/>
    <xf numFmtId="168" fontId="12" fillId="0" borderId="0" xfId="0" applyNumberFormat="1" applyFont="1" applyFill="1"/>
    <xf numFmtId="0" fontId="23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2" fillId="0" borderId="0" xfId="0" applyFont="1" applyBorder="1"/>
    <xf numFmtId="0" fontId="32" fillId="0" borderId="0" xfId="0" applyFont="1" applyBorder="1" applyAlignment="1">
      <alignment horizontal="right"/>
    </xf>
    <xf numFmtId="0" fontId="0" fillId="0" borderId="0" xfId="0" applyFont="1"/>
    <xf numFmtId="0" fontId="33" fillId="0" borderId="0" xfId="0" applyFont="1"/>
    <xf numFmtId="0" fontId="34" fillId="0" borderId="0" xfId="0" applyFont="1"/>
    <xf numFmtId="171" fontId="0" fillId="0" borderId="0" xfId="0" applyNumberFormat="1" applyFont="1"/>
    <xf numFmtId="10" fontId="34" fillId="0" borderId="0" xfId="26" applyNumberFormat="1" applyFont="1"/>
    <xf numFmtId="170" fontId="35" fillId="0" borderId="0" xfId="0" applyNumberFormat="1" applyFont="1"/>
    <xf numFmtId="0" fontId="35" fillId="0" borderId="0" xfId="0" applyFont="1"/>
    <xf numFmtId="170" fontId="36" fillId="0" borderId="0" xfId="0" applyNumberFormat="1" applyFont="1"/>
    <xf numFmtId="0" fontId="36" fillId="0" borderId="0" xfId="0" applyFont="1"/>
    <xf numFmtId="172" fontId="12" fillId="0" borderId="0" xfId="0" applyNumberFormat="1" applyFont="1"/>
    <xf numFmtId="0" fontId="37" fillId="0" borderId="0" xfId="13" applyFont="1" applyFill="1" applyAlignment="1">
      <alignment horizontal="left" vertical="center"/>
    </xf>
    <xf numFmtId="1" fontId="38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0" fillId="9" borderId="0" xfId="0" applyFont="1" applyFill="1"/>
    <xf numFmtId="168" fontId="41" fillId="9" borderId="0" xfId="0" applyNumberFormat="1" applyFont="1" applyFill="1"/>
    <xf numFmtId="0" fontId="0" fillId="0" borderId="2" xfId="0" applyBorder="1"/>
    <xf numFmtId="1" fontId="42" fillId="2" borderId="1" xfId="26" applyNumberFormat="1" applyFont="1" applyFill="1" applyBorder="1" applyAlignment="1">
      <alignment horizontal="right"/>
    </xf>
    <xf numFmtId="10" fontId="42" fillId="2" borderId="0" xfId="26" applyNumberFormat="1" applyFont="1" applyFill="1"/>
    <xf numFmtId="1" fontId="42" fillId="2" borderId="0" xfId="26" applyNumberFormat="1" applyFont="1" applyFill="1"/>
    <xf numFmtId="1" fontId="42" fillId="2" borderId="0" xfId="26" applyNumberFormat="1" applyFont="1" applyFill="1" applyAlignment="1">
      <alignment horizontal="right"/>
    </xf>
    <xf numFmtId="0" fontId="44" fillId="2" borderId="7" xfId="0" applyFont="1" applyFill="1" applyBorder="1" applyAlignment="1">
      <alignment vertical="center"/>
    </xf>
    <xf numFmtId="0" fontId="44" fillId="2" borderId="5" xfId="0" applyFont="1" applyFill="1" applyBorder="1" applyAlignment="1">
      <alignment vertical="center"/>
    </xf>
    <xf numFmtId="0" fontId="44" fillId="2" borderId="8" xfId="0" applyFont="1" applyFill="1" applyBorder="1" applyAlignment="1">
      <alignment vertical="center"/>
    </xf>
    <xf numFmtId="167" fontId="44" fillId="2" borderId="1" xfId="0" applyNumberFormat="1" applyFont="1" applyFill="1" applyBorder="1" applyAlignment="1">
      <alignment horizontal="right" vertical="top"/>
    </xf>
    <xf numFmtId="169" fontId="44" fillId="2" borderId="1" xfId="0" applyNumberFormat="1" applyFont="1" applyFill="1" applyBorder="1" applyAlignment="1">
      <alignment horizontal="right" vertical="top"/>
    </xf>
    <xf numFmtId="169" fontId="44" fillId="2" borderId="1" xfId="0" applyNumberFormat="1" applyFont="1" applyFill="1" applyBorder="1"/>
    <xf numFmtId="171" fontId="12" fillId="0" borderId="0" xfId="0" applyNumberFormat="1" applyFont="1"/>
    <xf numFmtId="168" fontId="39" fillId="6" borderId="0" xfId="0" applyNumberFormat="1" applyFont="1" applyFill="1" applyAlignment="1">
      <alignment horizontal="left"/>
    </xf>
    <xf numFmtId="0" fontId="45" fillId="6" borderId="0" xfId="14" applyFont="1" applyFill="1" applyAlignment="1" applyProtection="1"/>
    <xf numFmtId="0" fontId="46" fillId="0" borderId="0" xfId="0" applyFont="1"/>
    <xf numFmtId="0" fontId="47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3" fontId="48" fillId="2" borderId="1" xfId="0" applyNumberFormat="1" applyFont="1" applyFill="1" applyBorder="1"/>
    <xf numFmtId="166" fontId="44" fillId="2" borderId="1" xfId="0" applyNumberFormat="1" applyFont="1" applyFill="1" applyBorder="1" applyAlignment="1">
      <alignment horizontal="right" vertical="top"/>
    </xf>
    <xf numFmtId="0" fontId="13" fillId="0" borderId="3" xfId="0" applyFont="1" applyBorder="1" applyAlignment="1">
      <alignment horizontal="left"/>
    </xf>
    <xf numFmtId="166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5" fillId="0" borderId="2" xfId="0" applyFont="1" applyBorder="1" applyAlignment="1">
      <alignment horizontal="left"/>
    </xf>
    <xf numFmtId="0" fontId="35" fillId="0" borderId="2" xfId="0" applyFont="1" applyBorder="1" applyAlignment="1">
      <alignment horizontal="right"/>
    </xf>
    <xf numFmtId="0" fontId="0" fillId="0" borderId="0" xfId="0" applyBorder="1"/>
    <xf numFmtId="0" fontId="36" fillId="0" borderId="0" xfId="0" applyFont="1" applyBorder="1" applyAlignment="1">
      <alignment horizontal="right"/>
    </xf>
    <xf numFmtId="0" fontId="43" fillId="0" borderId="0" xfId="0" applyFont="1" applyBorder="1" applyAlignment="1">
      <alignment horizontal="right"/>
    </xf>
    <xf numFmtId="169" fontId="12" fillId="0" borderId="0" xfId="0" applyNumberFormat="1" applyFont="1"/>
    <xf numFmtId="166" fontId="12" fillId="0" borderId="0" xfId="0" applyNumberFormat="1" applyFont="1"/>
  </cellXfs>
  <cellStyles count="27"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3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EBF2F9"/>
      <color rgb="FFE5EEF7"/>
      <color rgb="FFD6E5F2"/>
      <color rgb="FF0000FF"/>
      <color rgb="FFFF6600"/>
      <color rgb="FF0033CC"/>
      <color rgb="FFFFFFCC"/>
      <color rgb="FFFF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tabSelected="1" zoomScale="80" zoomScaleNormal="80" workbookViewId="0">
      <selection activeCell="D6" sqref="D6"/>
    </sheetView>
  </sheetViews>
  <sheetFormatPr defaultColWidth="9.140625" defaultRowHeight="18.75" x14ac:dyDescent="0.3"/>
  <cols>
    <col min="1" max="1" width="4.28515625" style="46" customWidth="1"/>
    <col min="2" max="2" width="7.85546875" style="46" customWidth="1"/>
    <col min="3" max="3" width="15.140625" style="46" customWidth="1"/>
    <col min="4" max="4" width="17.85546875" style="46" customWidth="1"/>
    <col min="5" max="9" width="10.7109375" style="46" customWidth="1"/>
    <col min="10" max="10" width="10.7109375" style="78" customWidth="1"/>
    <col min="11" max="20" width="10.7109375" style="46" customWidth="1"/>
    <col min="21" max="21" width="4" style="46" customWidth="1"/>
    <col min="22" max="26" width="10.7109375" style="46" customWidth="1"/>
    <col min="27" max="27" width="3.140625" style="46" customWidth="1"/>
    <col min="28" max="28" width="10.7109375" style="46" customWidth="1"/>
    <col min="29" max="29" width="9.140625" style="46"/>
    <col min="30" max="30" width="14.85546875" style="46" bestFit="1" customWidth="1"/>
    <col min="31" max="16384" width="9.140625" style="46"/>
  </cols>
  <sheetData>
    <row r="1" spans="1:30" ht="21" x14ac:dyDescent="0.35">
      <c r="A1" s="18" t="str">
        <f>Assumptions!A1</f>
        <v>Digital Network</v>
      </c>
      <c r="B1" s="44"/>
      <c r="C1" s="44"/>
      <c r="D1" s="44"/>
      <c r="E1" s="44"/>
      <c r="F1" s="44"/>
      <c r="G1" s="44"/>
      <c r="H1" s="44"/>
      <c r="I1" s="44"/>
      <c r="J1" s="45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</row>
    <row r="2" spans="1:30" x14ac:dyDescent="0.3">
      <c r="A2" s="17" t="str">
        <f>Assumptions!A2</f>
        <v>VPN</v>
      </c>
      <c r="B2" s="44"/>
      <c r="C2" s="44"/>
      <c r="D2" s="44"/>
      <c r="E2" s="44"/>
      <c r="F2" s="44"/>
      <c r="G2" s="44"/>
      <c r="H2" s="44"/>
      <c r="I2" s="44"/>
      <c r="J2" s="4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</row>
    <row r="3" spans="1:30" s="49" customFormat="1" x14ac:dyDescent="0.3">
      <c r="A3" s="36" t="s">
        <v>46</v>
      </c>
      <c r="B3" s="47"/>
      <c r="C3" s="47"/>
      <c r="D3" s="47"/>
      <c r="E3" s="47"/>
      <c r="F3" s="47"/>
      <c r="G3" s="47"/>
      <c r="H3" s="47"/>
      <c r="I3" s="47"/>
      <c r="J3" s="47"/>
      <c r="K3" s="48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</row>
    <row r="4" spans="1:30" ht="12.75" customHeight="1" x14ac:dyDescent="0.3">
      <c r="A4" s="50"/>
      <c r="B4" s="50"/>
      <c r="C4" s="51"/>
      <c r="D4" s="51"/>
      <c r="E4" s="52"/>
      <c r="F4" s="51"/>
      <c r="G4" s="51"/>
      <c r="H4" s="52"/>
      <c r="I4" s="52"/>
      <c r="J4" s="52"/>
      <c r="K4" s="52"/>
      <c r="L4" s="52"/>
      <c r="M4" s="53"/>
      <c r="N4" s="53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</row>
    <row r="5" spans="1:30" s="2" customFormat="1" ht="12.75" customHeight="1" x14ac:dyDescent="0.2">
      <c r="A5" s="54"/>
      <c r="B5" s="55" t="s">
        <v>23</v>
      </c>
      <c r="C5" s="56"/>
      <c r="D5" s="57" t="str">
        <f>Summary!D6</f>
        <v>Option 1</v>
      </c>
      <c r="E5" s="58"/>
      <c r="F5" s="59"/>
      <c r="G5" s="59"/>
      <c r="H5" s="58"/>
      <c r="I5" s="58"/>
      <c r="J5" s="58"/>
      <c r="K5" s="58"/>
      <c r="L5" s="58"/>
      <c r="M5" s="60"/>
      <c r="N5" s="60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</row>
    <row r="6" spans="1:30" s="2" customFormat="1" ht="12.75" customHeight="1" x14ac:dyDescent="0.2">
      <c r="A6" s="54"/>
      <c r="B6" s="114" t="s">
        <v>39</v>
      </c>
      <c r="C6" s="65"/>
      <c r="D6" s="113" t="b">
        <f>AND('Option 1'!V3)</f>
        <v>1</v>
      </c>
      <c r="E6" s="58"/>
      <c r="F6" s="59"/>
      <c r="G6" s="59"/>
      <c r="H6" s="58"/>
      <c r="I6" s="58"/>
      <c r="J6" s="58"/>
      <c r="K6" s="58"/>
      <c r="L6" s="58"/>
      <c r="M6" s="60"/>
      <c r="N6" s="60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</row>
    <row r="7" spans="1:30" s="2" customFormat="1" ht="12.75" customHeight="1" x14ac:dyDescent="0.2">
      <c r="A7" s="54"/>
      <c r="B7" s="54"/>
      <c r="C7" s="54"/>
      <c r="D7" s="54"/>
      <c r="E7" s="54"/>
      <c r="F7" s="54"/>
      <c r="G7" s="59"/>
      <c r="H7" s="58"/>
      <c r="I7" s="58"/>
      <c r="J7" s="58"/>
      <c r="K7" s="58"/>
      <c r="L7" s="58"/>
      <c r="M7" s="60"/>
      <c r="N7" s="60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</row>
    <row r="8" spans="1:30" s="2" customFormat="1" ht="12.75" customHeight="1" x14ac:dyDescent="0.2">
      <c r="A8" s="61"/>
      <c r="B8" s="62"/>
      <c r="C8" s="59"/>
      <c r="D8" s="59"/>
      <c r="E8" s="58"/>
      <c r="F8" s="59"/>
      <c r="G8" s="59"/>
      <c r="H8" s="58"/>
      <c r="I8" s="58"/>
      <c r="J8" s="58"/>
      <c r="K8" s="58"/>
      <c r="L8" s="58"/>
      <c r="M8" s="60"/>
      <c r="N8" s="60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</row>
    <row r="9" spans="1:30" s="2" customFormat="1" ht="12.75" customHeight="1" x14ac:dyDescent="0.2">
      <c r="A9" s="63"/>
      <c r="B9" s="64" t="s">
        <v>47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</row>
    <row r="10" spans="1:30" s="2" customFormat="1" ht="12.75" customHeight="1" x14ac:dyDescent="0.2">
      <c r="A10" s="65"/>
      <c r="B10" s="66"/>
      <c r="C10" s="67"/>
      <c r="D10" s="67"/>
      <c r="E10" s="68"/>
      <c r="F10" s="69" t="s">
        <v>16</v>
      </c>
      <c r="G10" s="69" t="str">
        <f>F10</f>
        <v>2021/22</v>
      </c>
      <c r="H10" s="68" t="str">
        <f>G10</f>
        <v>2021/22</v>
      </c>
      <c r="I10" s="69" t="s">
        <v>17</v>
      </c>
      <c r="J10" s="69" t="str">
        <f>I10</f>
        <v>2022/23</v>
      </c>
      <c r="K10" s="68" t="str">
        <f>J10</f>
        <v>2022/23</v>
      </c>
      <c r="L10" s="69" t="s">
        <v>18</v>
      </c>
      <c r="M10" s="69" t="str">
        <f>L10</f>
        <v>2023/24</v>
      </c>
      <c r="N10" s="68" t="str">
        <f>M10</f>
        <v>2023/24</v>
      </c>
      <c r="O10" s="69" t="s">
        <v>19</v>
      </c>
      <c r="P10" s="69" t="str">
        <f>O10</f>
        <v>2024/25</v>
      </c>
      <c r="Q10" s="68" t="str">
        <f>P10</f>
        <v>2024/25</v>
      </c>
      <c r="R10" s="69" t="s">
        <v>20</v>
      </c>
      <c r="S10" s="69" t="str">
        <f>R10</f>
        <v>2025/26</v>
      </c>
      <c r="T10" s="68" t="str">
        <f>S10</f>
        <v>2025/26</v>
      </c>
      <c r="U10" s="65"/>
      <c r="V10" s="69" t="str">
        <f>F10</f>
        <v>2021/22</v>
      </c>
      <c r="W10" s="69" t="str">
        <f>I10</f>
        <v>2022/23</v>
      </c>
      <c r="X10" s="69" t="str">
        <f>L10</f>
        <v>2023/24</v>
      </c>
      <c r="Y10" s="69" t="str">
        <f>O10</f>
        <v>2024/25</v>
      </c>
      <c r="Z10" s="69" t="str">
        <f>R10</f>
        <v>2025/26</v>
      </c>
      <c r="AA10" s="65"/>
      <c r="AB10" s="69" t="s">
        <v>24</v>
      </c>
    </row>
    <row r="11" spans="1:30" s="2" customFormat="1" ht="12.75" customHeight="1" x14ac:dyDescent="0.2">
      <c r="A11" s="65"/>
      <c r="B11" s="70" t="s">
        <v>25</v>
      </c>
      <c r="C11" s="70" t="s">
        <v>26</v>
      </c>
      <c r="D11" s="70"/>
      <c r="E11" s="71"/>
      <c r="F11" s="72" t="s">
        <v>2</v>
      </c>
      <c r="G11" s="72" t="s">
        <v>1</v>
      </c>
      <c r="H11" s="71" t="s">
        <v>4</v>
      </c>
      <c r="I11" s="72" t="s">
        <v>2</v>
      </c>
      <c r="J11" s="72" t="s">
        <v>1</v>
      </c>
      <c r="K11" s="71" t="s">
        <v>4</v>
      </c>
      <c r="L11" s="72" t="s">
        <v>2</v>
      </c>
      <c r="M11" s="72" t="s">
        <v>1</v>
      </c>
      <c r="N11" s="71" t="s">
        <v>4</v>
      </c>
      <c r="O11" s="72" t="s">
        <v>2</v>
      </c>
      <c r="P11" s="72" t="s">
        <v>1</v>
      </c>
      <c r="Q11" s="71" t="s">
        <v>4</v>
      </c>
      <c r="R11" s="73" t="s">
        <v>2</v>
      </c>
      <c r="S11" s="73" t="s">
        <v>1</v>
      </c>
      <c r="T11" s="73" t="s">
        <v>4</v>
      </c>
      <c r="U11" s="65"/>
      <c r="V11" s="73"/>
      <c r="W11" s="73"/>
      <c r="X11" s="73"/>
      <c r="Y11" s="73"/>
      <c r="Z11" s="73"/>
      <c r="AA11" s="65"/>
      <c r="AB11" s="73"/>
    </row>
    <row r="12" spans="1:30" s="2" customFormat="1" ht="12.75" customHeight="1" x14ac:dyDescent="0.2">
      <c r="A12" s="65"/>
      <c r="B12" s="74">
        <v>200</v>
      </c>
      <c r="C12" s="75" t="s">
        <v>27</v>
      </c>
      <c r="D12" s="75"/>
      <c r="E12" s="75"/>
      <c r="F12" s="76">
        <f ca="1">INDEX(Summary!$F$11:$J$36,MATCH($D$5&amp;F$11,Summary!$D$11:$D$36,0), MATCH(Output!F$10, Summary!$F$10:$J$10,0))/1000</f>
        <v>4350.7492097926861</v>
      </c>
      <c r="G12" s="76">
        <f ca="1">INDEX(Summary!$F$11:$J$36,MATCH($D$5&amp;G$11,Summary!$D$11:$D$36,0), MATCH(Output!G$10, Summary!$F$10:$J$10,0))/1000</f>
        <v>1161.417388122492</v>
      </c>
      <c r="H12" s="76">
        <f ca="1">INDEX(Summary!$F$11:$J$36,MATCH($D$5&amp;H$11,Summary!$D$11:$D$36,0), MATCH(Output!H$10, Summary!$F$10:$J$10,0))/1000</f>
        <v>0</v>
      </c>
      <c r="I12" s="76">
        <f ca="1">INDEX(Summary!$F$11:$J$36,MATCH($D$5&amp;I$11,Summary!$D$11:$D$36,0), MATCH(Output!I$10, Summary!$F$10:$J$10,0))/1000</f>
        <v>4353.0446481598701</v>
      </c>
      <c r="J12" s="76">
        <f ca="1">INDEX(Summary!$F$11:$J$36,MATCH($D$5&amp;J$11,Summary!$D$11:$D$36,0), MATCH(Output!J$10, Summary!$F$10:$J$10,0))/1000</f>
        <v>2060.1920599036062</v>
      </c>
      <c r="K12" s="76">
        <f ca="1">INDEX(Summary!$F$11:$J$36,MATCH($D$5&amp;K$11,Summary!$D$11:$D$36,0), MATCH(Output!K$10, Summary!$F$10:$J$10,0))/1000</f>
        <v>0</v>
      </c>
      <c r="L12" s="76">
        <f ca="1">INDEX(Summary!$F$11:$J$36,MATCH($D$5&amp;L$11,Summary!$D$11:$D$36,0), MATCH(Output!L$10, Summary!$F$10:$J$10,0))/1000</f>
        <v>3875.9953104028182</v>
      </c>
      <c r="M12" s="76">
        <f ca="1">INDEX(Summary!$F$11:$J$36,MATCH($D$5&amp;M$11,Summary!$D$11:$D$36,0), MATCH(Output!M$10, Summary!$F$10:$J$10,0))/1000</f>
        <v>2401.203973862976</v>
      </c>
      <c r="N12" s="76">
        <f ca="1">INDEX(Summary!$F$11:$J$36,MATCH($D$5&amp;N$11,Summary!$D$11:$D$36,0), MATCH(Output!N$10, Summary!$F$10:$J$10,0))/1000</f>
        <v>0</v>
      </c>
      <c r="O12" s="76">
        <f ca="1">INDEX(Summary!$F$11:$J$36,MATCH($D$5&amp;O$11,Summary!$D$11:$D$36,0), MATCH(Output!O$10, Summary!$F$10:$J$10,0))/1000</f>
        <v>582.86726807890511</v>
      </c>
      <c r="P12" s="76">
        <f ca="1">INDEX(Summary!$F$11:$J$36,MATCH($D$5&amp;P$11,Summary!$D$11:$D$36,0), MATCH(Output!P$10, Summary!$F$10:$J$10,0))/1000</f>
        <v>1166.3595897740772</v>
      </c>
      <c r="Q12" s="76">
        <f ca="1">INDEX(Summary!$F$11:$J$36,MATCH($D$5&amp;Q$11,Summary!$D$11:$D$36,0), MATCH(Output!Q$10, Summary!$F$10:$J$10,0))/1000</f>
        <v>0</v>
      </c>
      <c r="R12" s="76">
        <f ca="1">INDEX(Summary!$F$11:$J$36,MATCH($D$5&amp;R$11,Summary!$D$11:$D$36,0), MATCH(Output!R$10, Summary!$F$10:$J$10,0))/1000</f>
        <v>1022.5003670126813</v>
      </c>
      <c r="S12" s="76">
        <f ca="1">INDEX(Summary!$F$11:$J$36,MATCH($D$5&amp;S$11,Summary!$D$11:$D$36,0), MATCH(Output!S$10, Summary!$F$10:$J$10,0))/1000</f>
        <v>1306.1532936331978</v>
      </c>
      <c r="T12" s="76">
        <f ca="1">INDEX(Summary!$F$11:$J$36,MATCH($D$5&amp;T$11,Summary!$D$11:$D$36,0), MATCH(Output!T$10, Summary!$F$10:$J$10,0))/1000</f>
        <v>0</v>
      </c>
      <c r="U12" s="65"/>
      <c r="V12" s="76">
        <f ca="1">SUMIF($F$10:$T$10,V$10,$F12:$T12)</f>
        <v>5512.1665979151785</v>
      </c>
      <c r="W12" s="76">
        <f ca="1">SUMIF($F$10:$T$10,W$10,$F12:$T12)</f>
        <v>6413.2367080634758</v>
      </c>
      <c r="X12" s="76">
        <f ca="1">SUMIF($F$10:$T$10,X$10,$F12:$T12)</f>
        <v>6277.1992842657946</v>
      </c>
      <c r="Y12" s="76">
        <f ca="1">SUMIF($F$10:$T$10,Y$10,$F12:$T12)</f>
        <v>1749.2268578529824</v>
      </c>
      <c r="Z12" s="76">
        <f ca="1">SUMIF($F$10:$T$10,Z$10,$F12:$T12)</f>
        <v>2328.653660645879</v>
      </c>
      <c r="AA12" s="65"/>
      <c r="AB12" s="76">
        <f ca="1">SUM(V12:Z12)</f>
        <v>22280.483108743312</v>
      </c>
    </row>
    <row r="13" spans="1:30" s="2" customFormat="1" ht="12.75" customHeight="1" x14ac:dyDescent="0.2">
      <c r="A13" s="65"/>
      <c r="B13" s="74"/>
      <c r="C13" s="75"/>
      <c r="D13" s="75"/>
      <c r="E13" s="75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65"/>
      <c r="V13" s="76"/>
      <c r="W13" s="76"/>
      <c r="X13" s="76"/>
      <c r="Y13" s="76"/>
      <c r="Z13" s="76"/>
      <c r="AA13" s="65"/>
      <c r="AB13" s="76"/>
      <c r="AD13" s="77"/>
    </row>
  </sheetData>
  <conditionalFormatting sqref="D6">
    <cfRule type="expression" dxfId="2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28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11" style="1" customWidth="1"/>
    <col min="3" max="3" width="15.28515625" style="1" customWidth="1"/>
    <col min="4" max="4" width="13.85546875" style="98" customWidth="1"/>
    <col min="5" max="5" width="2.85546875" style="1" customWidth="1"/>
    <col min="6" max="10" width="12.42578125" style="1" customWidth="1"/>
    <col min="11" max="11" width="10.28515625" style="1" bestFit="1" customWidth="1"/>
    <col min="12" max="12" width="11.28515625" style="1" bestFit="1" customWidth="1"/>
    <col min="13" max="16384" width="9.140625" style="1"/>
  </cols>
  <sheetData>
    <row r="1" spans="1:17" ht="21" x14ac:dyDescent="0.35">
      <c r="A1" s="18" t="str">
        <f>Assumptions!A1</f>
        <v>Digital Network</v>
      </c>
      <c r="B1" s="18"/>
      <c r="C1" s="15"/>
      <c r="D1" s="15"/>
      <c r="E1" s="15"/>
      <c r="F1" s="15"/>
      <c r="G1" s="15"/>
      <c r="H1" s="15"/>
      <c r="I1" s="15"/>
      <c r="J1" s="15"/>
    </row>
    <row r="2" spans="1:1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5"/>
    </row>
    <row r="3" spans="1:17" s="22" customFormat="1" ht="15.75" x14ac:dyDescent="0.25">
      <c r="A3" s="36" t="s">
        <v>48</v>
      </c>
      <c r="B3" s="34"/>
      <c r="C3" s="35"/>
      <c r="D3" s="35"/>
      <c r="E3" s="35"/>
      <c r="F3" s="35"/>
      <c r="G3" s="35"/>
      <c r="H3" s="35"/>
      <c r="I3" s="35"/>
      <c r="J3" s="35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7" ht="12.75" customHeight="1" x14ac:dyDescent="0.25">
      <c r="B6" s="40" t="s">
        <v>21</v>
      </c>
      <c r="D6" s="41" t="s">
        <v>28</v>
      </c>
      <c r="E6" s="3"/>
      <c r="O6"/>
    </row>
    <row r="7" spans="1:17" ht="12.75" customHeight="1" x14ac:dyDescent="0.25">
      <c r="B7" s="114" t="s">
        <v>39</v>
      </c>
      <c r="D7" s="113" t="b">
        <f>Output!D6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80" t="s">
        <v>28</v>
      </c>
      <c r="C10" s="80" t="s">
        <v>9</v>
      </c>
      <c r="D10" s="80"/>
      <c r="E10" s="81"/>
      <c r="F10" s="82" t="s">
        <v>16</v>
      </c>
      <c r="G10" s="82" t="s">
        <v>17</v>
      </c>
      <c r="H10" s="82" t="s">
        <v>18</v>
      </c>
      <c r="I10" s="82" t="s">
        <v>19</v>
      </c>
      <c r="J10" s="82" t="s">
        <v>20</v>
      </c>
      <c r="O10"/>
    </row>
    <row r="11" spans="1:17" ht="12.75" customHeight="1" x14ac:dyDescent="0.25">
      <c r="C11" s="1" t="s">
        <v>2</v>
      </c>
      <c r="D11" s="116" t="str">
        <f>B10&amp;C11</f>
        <v>Option 1Labour</v>
      </c>
      <c r="E11" s="3"/>
      <c r="F11" s="9">
        <f t="shared" ref="F11:J13" ca="1" si="0">SUMIF(INDIRECT(LEFT($D11,6)&amp;MID($D11,8,1)&amp;"_categories"),$C11,INDEX(INDIRECT(LEFT($D11,6)&amp;MID($D11,8,1)&amp;"_costs"),,MATCH(F$10,years,0)))*Conv_2021</f>
        <v>4350749.2097926857</v>
      </c>
      <c r="G11" s="9">
        <f t="shared" ca="1" si="0"/>
        <v>4353044.6481598699</v>
      </c>
      <c r="H11" s="9">
        <f t="shared" ca="1" si="0"/>
        <v>3875995.310402818</v>
      </c>
      <c r="I11" s="9">
        <f t="shared" ca="1" si="0"/>
        <v>582867.26807890506</v>
      </c>
      <c r="J11" s="9">
        <f t="shared" ca="1" si="0"/>
        <v>1022500.3670126813</v>
      </c>
      <c r="O11"/>
    </row>
    <row r="12" spans="1:17" ht="12.75" customHeight="1" x14ac:dyDescent="0.25">
      <c r="C12" s="1" t="s">
        <v>1</v>
      </c>
      <c r="D12" s="116" t="str">
        <f>B10&amp;C12</f>
        <v>Option 1Materials</v>
      </c>
      <c r="E12" s="3"/>
      <c r="F12" s="9">
        <f t="shared" ca="1" si="0"/>
        <v>1161417.388122492</v>
      </c>
      <c r="G12" s="9">
        <f t="shared" ca="1" si="0"/>
        <v>2060192.0599036061</v>
      </c>
      <c r="H12" s="9">
        <f t="shared" ca="1" si="0"/>
        <v>2401203.9738629758</v>
      </c>
      <c r="I12" s="9">
        <f t="shared" ca="1" si="0"/>
        <v>1166359.5897740773</v>
      </c>
      <c r="J12" s="9">
        <f t="shared" ca="1" si="0"/>
        <v>1306153.2936331979</v>
      </c>
      <c r="O12"/>
    </row>
    <row r="13" spans="1:17" ht="12.75" customHeight="1" x14ac:dyDescent="0.2">
      <c r="C13" s="1" t="s">
        <v>4</v>
      </c>
      <c r="D13" s="116" t="str">
        <f>B10&amp;C13</f>
        <v>Option 1Contracts</v>
      </c>
      <c r="F13" s="9">
        <f t="shared" ca="1" si="0"/>
        <v>0</v>
      </c>
      <c r="G13" s="9">
        <f t="shared" ca="1" si="0"/>
        <v>0</v>
      </c>
      <c r="H13" s="9">
        <f t="shared" ca="1" si="0"/>
        <v>0</v>
      </c>
      <c r="I13" s="9">
        <f t="shared" ca="1" si="0"/>
        <v>0</v>
      </c>
      <c r="J13" s="9">
        <f t="shared" ca="1" si="0"/>
        <v>0</v>
      </c>
    </row>
    <row r="14" spans="1:17" ht="12.75" customHeight="1" x14ac:dyDescent="0.2">
      <c r="B14" s="98"/>
      <c r="C14" s="25" t="s">
        <v>49</v>
      </c>
      <c r="D14" s="25"/>
      <c r="E14" s="25"/>
      <c r="F14" s="26">
        <f ca="1">SUM(F11:F13)</f>
        <v>5512166.5979151782</v>
      </c>
      <c r="G14" s="26">
        <f ca="1">SUM(G11:G13)</f>
        <v>6413236.7080634758</v>
      </c>
      <c r="H14" s="26">
        <f ca="1">SUM(H11:H13)</f>
        <v>6277199.2842657939</v>
      </c>
      <c r="I14" s="26">
        <f ca="1">SUM(I11:I13)</f>
        <v>1749226.8578529824</v>
      </c>
      <c r="J14" s="26">
        <f ca="1">SUM(J11:J13)</f>
        <v>2328653.6606458793</v>
      </c>
      <c r="K14" s="42"/>
      <c r="L14" s="2"/>
      <c r="M14" s="2"/>
      <c r="N14" s="2"/>
      <c r="O14" s="2"/>
      <c r="P14" s="2"/>
      <c r="Q14" s="2"/>
    </row>
    <row r="15" spans="1:17" ht="12.75" customHeight="1" x14ac:dyDescent="0.2">
      <c r="B15" s="98"/>
      <c r="C15" s="7"/>
      <c r="D15" s="7"/>
      <c r="E15" s="7"/>
      <c r="F15" s="79"/>
      <c r="G15" s="79"/>
      <c r="H15" s="79"/>
      <c r="I15" s="79"/>
      <c r="J15" s="79"/>
    </row>
    <row r="16" spans="1:17" ht="12.75" customHeight="1" x14ac:dyDescent="0.2">
      <c r="C16" s="122" t="s">
        <v>64</v>
      </c>
      <c r="D16" s="26"/>
      <c r="E16" s="26"/>
      <c r="F16" s="26">
        <f ca="1">NPV(Assumptions!$B$6,F14:J14)</f>
        <v>20828361.173278898</v>
      </c>
      <c r="G16" s="79"/>
      <c r="H16" s="79"/>
      <c r="I16" s="79"/>
      <c r="J16" s="79"/>
    </row>
    <row r="17" spans="2:10" ht="12.75" customHeight="1" x14ac:dyDescent="0.2">
      <c r="C17" s="39"/>
      <c r="D17" s="39"/>
      <c r="E17" s="7"/>
      <c r="F17" s="79"/>
      <c r="G17" s="79"/>
      <c r="H17" s="79"/>
      <c r="I17" s="79"/>
      <c r="J17" s="79"/>
    </row>
    <row r="18" spans="2:10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0" s="98" customFormat="1" ht="12.75" customHeight="1" x14ac:dyDescent="0.2">
      <c r="B19" s="7"/>
      <c r="C19" s="7"/>
      <c r="D19" s="7"/>
      <c r="E19" s="7"/>
      <c r="F19" s="27"/>
      <c r="G19" s="27"/>
      <c r="H19" s="27"/>
      <c r="I19" s="27"/>
      <c r="J19" s="27"/>
    </row>
    <row r="20" spans="2:10" s="98" customFormat="1" ht="12.75" customHeight="1" x14ac:dyDescent="0.2">
      <c r="B20" s="7"/>
      <c r="C20" s="7"/>
      <c r="D20" s="7"/>
      <c r="E20" s="7"/>
      <c r="F20" s="27"/>
      <c r="G20" s="27"/>
      <c r="H20" s="27"/>
      <c r="I20" s="27"/>
      <c r="J20" s="27"/>
    </row>
    <row r="21" spans="2:10" s="98" customFormat="1" ht="12.75" customHeight="1" x14ac:dyDescent="0.2">
      <c r="B21" s="7"/>
      <c r="C21" s="7"/>
      <c r="D21" s="7"/>
      <c r="E21" s="7"/>
      <c r="F21" s="27"/>
      <c r="G21" s="27"/>
      <c r="H21" s="27"/>
      <c r="I21" s="27"/>
      <c r="J21" s="27"/>
    </row>
    <row r="22" spans="2:10" s="98" customFormat="1" ht="12.75" customHeight="1" x14ac:dyDescent="0.2">
      <c r="B22" s="7"/>
      <c r="C22" s="7"/>
      <c r="D22" s="7"/>
      <c r="E22" s="7"/>
      <c r="F22" s="27"/>
      <c r="G22" s="27"/>
      <c r="H22" s="27"/>
      <c r="I22" s="27"/>
      <c r="J22" s="27"/>
    </row>
    <row r="23" spans="2:10" s="98" customFormat="1" ht="12.75" customHeight="1" x14ac:dyDescent="0.2">
      <c r="B23" s="7"/>
      <c r="C23" s="7"/>
      <c r="D23" s="7"/>
      <c r="E23" s="7"/>
      <c r="F23" s="27"/>
      <c r="G23" s="27"/>
      <c r="H23" s="27"/>
      <c r="I23" s="27"/>
      <c r="J23" s="27"/>
    </row>
    <row r="24" spans="2:10" s="98" customFormat="1" ht="12.75" customHeight="1" x14ac:dyDescent="0.2">
      <c r="B24" s="7"/>
      <c r="C24" s="7"/>
      <c r="D24" s="7"/>
      <c r="E24" s="7"/>
      <c r="F24" s="27"/>
      <c r="G24" s="27"/>
      <c r="H24" s="27"/>
      <c r="I24" s="27"/>
      <c r="J24" s="27"/>
    </row>
    <row r="25" spans="2:10" s="98" customFormat="1" ht="12.75" customHeight="1" x14ac:dyDescent="0.2">
      <c r="B25" s="7"/>
      <c r="C25" s="7"/>
      <c r="D25" s="7"/>
      <c r="E25" s="7"/>
      <c r="F25" s="27"/>
      <c r="G25" s="27"/>
      <c r="H25" s="27"/>
      <c r="I25" s="27"/>
      <c r="J25" s="27"/>
    </row>
    <row r="26" spans="2:10" s="98" customFormat="1" ht="12.75" customHeight="1" x14ac:dyDescent="0.2">
      <c r="B26" s="7"/>
      <c r="C26" s="7"/>
      <c r="D26" s="7"/>
      <c r="E26" s="7"/>
      <c r="F26" s="27"/>
      <c r="G26" s="27"/>
      <c r="H26" s="27"/>
      <c r="I26" s="27"/>
      <c r="J26" s="27"/>
    </row>
    <row r="27" spans="2:10" s="98" customFormat="1" ht="12.75" customHeight="1" x14ac:dyDescent="0.2">
      <c r="B27" s="7"/>
      <c r="C27" s="7"/>
      <c r="D27" s="7"/>
      <c r="E27" s="7"/>
      <c r="F27" s="27"/>
      <c r="G27" s="27"/>
      <c r="H27" s="27"/>
      <c r="I27" s="27"/>
      <c r="J27" s="27"/>
    </row>
    <row r="28" spans="2:10" s="98" customFormat="1" ht="12.75" customHeight="1" x14ac:dyDescent="0.2">
      <c r="B28" s="7"/>
      <c r="C28" s="7"/>
      <c r="D28" s="7"/>
      <c r="E28" s="7"/>
      <c r="F28" s="27"/>
      <c r="G28" s="27"/>
      <c r="H28" s="27"/>
      <c r="I28" s="27"/>
      <c r="J28" s="27"/>
    </row>
  </sheetData>
  <conditionalFormatting sqref="D7">
    <cfRule type="expression" dxfId="1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Assumptions!$A$23:$A$26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4"/>
  <sheetViews>
    <sheetView showGridLines="0" zoomScale="85" zoomScaleNormal="85" workbookViewId="0"/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50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6" t="s">
        <v>3</v>
      </c>
      <c r="B3" s="34"/>
      <c r="C3" s="34"/>
      <c r="D3" s="34"/>
      <c r="E3" s="34"/>
      <c r="F3" s="34"/>
      <c r="G3" s="34"/>
      <c r="H3" s="34"/>
      <c r="I3" s="34"/>
      <c r="J3" s="34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3" customFormat="1" ht="12.75" customHeight="1" x14ac:dyDescent="0.25">
      <c r="A4" s="32" t="s">
        <v>8</v>
      </c>
      <c r="B4" s="95" t="s">
        <v>3</v>
      </c>
      <c r="C4" s="32" t="s">
        <v>6</v>
      </c>
      <c r="D4" s="32" t="s">
        <v>7</v>
      </c>
    </row>
    <row r="5" spans="1:35" s="33" customFormat="1" ht="12.75" customHeight="1" x14ac:dyDescent="0.25">
      <c r="A5" s="32"/>
      <c r="B5" s="95"/>
      <c r="C5" s="32"/>
      <c r="D5" s="32"/>
    </row>
    <row r="6" spans="1:35" s="33" customFormat="1" ht="12.75" customHeight="1" x14ac:dyDescent="0.25">
      <c r="A6" s="2" t="s">
        <v>14</v>
      </c>
      <c r="B6" s="103">
        <v>2.75E-2</v>
      </c>
      <c r="C6" s="2"/>
      <c r="D6" s="32"/>
    </row>
    <row r="7" spans="1:35" s="33" customFormat="1" ht="12.75" customHeight="1" x14ac:dyDescent="0.25">
      <c r="A7" s="32"/>
      <c r="B7" s="95"/>
      <c r="C7" s="32"/>
      <c r="D7" s="32"/>
    </row>
    <row r="8" spans="1:35" s="33" customFormat="1" ht="12.75" customHeight="1" x14ac:dyDescent="0.25">
      <c r="A8" s="97" t="s">
        <v>34</v>
      </c>
      <c r="B8" s="105">
        <v>2018</v>
      </c>
      <c r="C8" t="s">
        <v>37</v>
      </c>
      <c r="D8" s="32"/>
    </row>
    <row r="9" spans="1:35" s="33" customFormat="1" ht="12.75" customHeight="1" x14ac:dyDescent="0.25">
      <c r="A9" s="97"/>
      <c r="B9" s="97"/>
      <c r="C9" s="97"/>
      <c r="D9" s="97"/>
      <c r="E9" s="97"/>
    </row>
    <row r="10" spans="1:35" ht="12.75" customHeight="1" x14ac:dyDescent="0.25">
      <c r="A10" s="83"/>
      <c r="B10" s="83"/>
      <c r="C10" s="83"/>
      <c r="D10" s="83">
        <v>2015</v>
      </c>
      <c r="E10" s="83">
        <v>2016</v>
      </c>
      <c r="F10" s="83">
        <v>2017</v>
      </c>
      <c r="G10" s="83">
        <v>2018</v>
      </c>
      <c r="H10" s="83">
        <v>2019</v>
      </c>
      <c r="I10" s="84">
        <v>2020</v>
      </c>
      <c r="J10" s="84" t="s">
        <v>35</v>
      </c>
    </row>
    <row r="11" spans="1:35" ht="12.75" customHeight="1" x14ac:dyDescent="0.25">
      <c r="A11" s="125" t="s">
        <v>65</v>
      </c>
      <c r="B11" s="28"/>
      <c r="C11" s="101"/>
      <c r="D11" s="126" t="s">
        <v>69</v>
      </c>
      <c r="E11" s="126" t="s">
        <v>69</v>
      </c>
      <c r="F11" s="126" t="s">
        <v>69</v>
      </c>
      <c r="G11" s="126" t="s">
        <v>69</v>
      </c>
      <c r="H11" s="126" t="s">
        <v>69</v>
      </c>
      <c r="I11" s="126" t="s">
        <v>69</v>
      </c>
      <c r="J11" s="126" t="s">
        <v>70</v>
      </c>
    </row>
    <row r="12" spans="1:35" ht="12.75" customHeight="1" x14ac:dyDescent="0.25">
      <c r="A12" s="127" t="s">
        <v>66</v>
      </c>
      <c r="B12" s="4"/>
      <c r="C12" s="127"/>
      <c r="D12" s="128" t="s">
        <v>29</v>
      </c>
      <c r="E12" s="128" t="s">
        <v>29</v>
      </c>
      <c r="F12" s="128" t="s">
        <v>29</v>
      </c>
      <c r="G12" s="128" t="s">
        <v>29</v>
      </c>
      <c r="H12" s="128" t="s">
        <v>29</v>
      </c>
      <c r="I12" s="129" t="s">
        <v>30</v>
      </c>
      <c r="J12" s="129" t="s">
        <v>30</v>
      </c>
    </row>
    <row r="13" spans="1:35" ht="12.75" customHeight="1" x14ac:dyDescent="0.25">
      <c r="A13" s="98" t="s">
        <v>67</v>
      </c>
      <c r="B13" s="98"/>
      <c r="C13" s="85"/>
      <c r="D13" s="86"/>
      <c r="E13" s="103">
        <v>1.0232558139534831E-2</v>
      </c>
      <c r="F13" s="103">
        <v>1.9337016574585641E-2</v>
      </c>
      <c r="G13" s="103">
        <v>2.0776874435411097E-2</v>
      </c>
      <c r="H13" s="103">
        <v>1.5929203539823078E-2</v>
      </c>
      <c r="I13" s="103">
        <v>2.000000000000024E-2</v>
      </c>
      <c r="J13" s="103">
        <v>2.1998043050963867E-2</v>
      </c>
    </row>
    <row r="14" spans="1:35" ht="12.75" customHeight="1" x14ac:dyDescent="0.25">
      <c r="A14" s="92" t="s">
        <v>31</v>
      </c>
      <c r="B14" s="90"/>
      <c r="C14" s="90"/>
      <c r="D14" s="104">
        <v>1</v>
      </c>
      <c r="E14" s="93">
        <f t="shared" ref="E14:J14" si="0">D14*(1+E13)</f>
        <v>1.0102325581395348</v>
      </c>
      <c r="F14" s="93">
        <f t="shared" si="0"/>
        <v>1.029767441860465</v>
      </c>
      <c r="G14" s="93">
        <f t="shared" si="0"/>
        <v>1.0511627906976744</v>
      </c>
      <c r="H14" s="93">
        <f t="shared" si="0"/>
        <v>1.067906976744186</v>
      </c>
      <c r="I14" s="93">
        <f t="shared" si="0"/>
        <v>1.0892651162790701</v>
      </c>
      <c r="J14" s="93">
        <f t="shared" si="0"/>
        <v>1.1132268172008901</v>
      </c>
    </row>
    <row r="15" spans="1:35" ht="12.75" customHeight="1" x14ac:dyDescent="0.25">
      <c r="A15" s="90"/>
      <c r="B15" s="90"/>
      <c r="C15" s="90"/>
      <c r="D15" s="91"/>
      <c r="E15" s="91"/>
      <c r="F15" s="91"/>
      <c r="G15" s="91"/>
      <c r="H15" s="91"/>
    </row>
    <row r="16" spans="1:35" ht="12.75" customHeight="1" x14ac:dyDescent="0.25">
      <c r="A16" s="97" t="s">
        <v>36</v>
      </c>
      <c r="B16" s="96">
        <f>B8</f>
        <v>2018</v>
      </c>
      <c r="C16" s="98" t="s">
        <v>37</v>
      </c>
      <c r="G16" s="87"/>
      <c r="H16" s="87"/>
    </row>
    <row r="17" spans="1:8" ht="12.75" customHeight="1" x14ac:dyDescent="0.25">
      <c r="A17" s="97" t="s">
        <v>33</v>
      </c>
      <c r="B17" s="102" t="s">
        <v>35</v>
      </c>
      <c r="C17" s="98" t="s">
        <v>38</v>
      </c>
      <c r="G17" s="87"/>
      <c r="H17" s="87"/>
    </row>
    <row r="18" spans="1:8" ht="12.75" customHeight="1" x14ac:dyDescent="0.25">
      <c r="A18" s="97" t="s">
        <v>32</v>
      </c>
      <c r="B18" s="94">
        <f>INDEX($D$14:$J$14, MATCH(B17, $D$10:$J$10,0))/INDEX($D$14:$J$14, MATCH(B16, $D$10:$J$10,0))</f>
        <v>1.0590432110539443</v>
      </c>
      <c r="C18" s="112"/>
      <c r="D18" s="88"/>
      <c r="E18" s="85"/>
      <c r="F18" s="85"/>
      <c r="G18" s="85"/>
      <c r="H18" s="85"/>
    </row>
    <row r="19" spans="1:8" ht="12.75" customHeight="1" x14ac:dyDescent="0.25">
      <c r="A19" s="87"/>
      <c r="B19" s="89"/>
      <c r="C19" s="89"/>
      <c r="D19" s="89"/>
      <c r="E19" s="89"/>
      <c r="F19" s="89"/>
      <c r="G19" s="89"/>
      <c r="H19" s="87"/>
    </row>
    <row r="20" spans="1:8" ht="12.75" customHeight="1" x14ac:dyDescent="0.25"/>
    <row r="21" spans="1:8" ht="12.75" customHeight="1" x14ac:dyDescent="0.25"/>
    <row r="22" spans="1:8" ht="12.75" customHeight="1" x14ac:dyDescent="0.25">
      <c r="A22" s="121" t="s">
        <v>63</v>
      </c>
    </row>
    <row r="23" spans="1:8" ht="12.75" customHeight="1" x14ac:dyDescent="0.25">
      <c r="A23" s="97" t="str">
        <f>'Option 1'!$A$3</f>
        <v>Option 1</v>
      </c>
      <c r="B23" t="s">
        <v>68</v>
      </c>
    </row>
    <row r="24" spans="1:8" ht="12.75" customHeight="1" x14ac:dyDescent="0.25">
      <c r="A24" s="97"/>
    </row>
    <row r="25" spans="1:8" ht="12.75" customHeight="1" x14ac:dyDescent="0.25">
      <c r="A25" s="97"/>
    </row>
    <row r="26" spans="1:8" ht="12.75" customHeight="1" x14ac:dyDescent="0.25"/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W58"/>
  <sheetViews>
    <sheetView showGridLines="0" zoomScale="70" zoomScaleNormal="7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0.140625" style="1" bestFit="1" customWidth="1"/>
    <col min="4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2.8554687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24" width="11" style="1" bestFit="1" customWidth="1"/>
    <col min="25" max="25" width="12.140625" style="1" bestFit="1" customWidth="1"/>
    <col min="26" max="26" width="11" style="1" bestFit="1" customWidth="1"/>
    <col min="27" max="27" width="10.28515625" style="1" bestFit="1" customWidth="1"/>
    <col min="28" max="28" width="10.42578125" style="1" bestFit="1" customWidth="1"/>
    <col min="29" max="16384" width="9.140625" style="1"/>
  </cols>
  <sheetData>
    <row r="1" spans="1:22" ht="21" x14ac:dyDescent="0.35">
      <c r="A1" s="18" t="str">
        <f>Assumptions!A1</f>
        <v>Digital Network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2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2" s="38" customFormat="1" ht="15" x14ac:dyDescent="0.25">
      <c r="A3" s="36" t="s">
        <v>28</v>
      </c>
      <c r="B3" s="36"/>
      <c r="C3" s="36"/>
      <c r="D3" s="36"/>
      <c r="E3" s="36"/>
      <c r="F3" s="36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V3" s="115" t="b">
        <f>SUM(P51:T51)=0</f>
        <v>1</v>
      </c>
    </row>
    <row r="4" spans="1:22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2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2" ht="12.75" customHeight="1" x14ac:dyDescent="0.2">
      <c r="A6" s="7"/>
      <c r="F6" s="20"/>
    </row>
    <row r="7" spans="1:22" ht="12.75" customHeight="1" x14ac:dyDescent="0.2">
      <c r="A7" s="7"/>
      <c r="B7" s="98"/>
      <c r="C7" s="117" t="s">
        <v>45</v>
      </c>
      <c r="D7" s="23" t="s">
        <v>22</v>
      </c>
      <c r="E7" s="23" t="s">
        <v>9</v>
      </c>
      <c r="F7" s="20"/>
      <c r="G7" s="23" t="s">
        <v>15</v>
      </c>
      <c r="H7" s="23" t="s">
        <v>10</v>
      </c>
      <c r="I7" s="98"/>
      <c r="J7" s="23" t="s">
        <v>44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2" s="98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18" t="s">
        <v>16</v>
      </c>
      <c r="K8" s="118" t="s">
        <v>17</v>
      </c>
      <c r="L8" s="118" t="s">
        <v>18</v>
      </c>
      <c r="M8" s="118" t="s">
        <v>19</v>
      </c>
      <c r="N8" s="118" t="s">
        <v>20</v>
      </c>
      <c r="O8" s="4"/>
      <c r="P8" s="118" t="s">
        <v>16</v>
      </c>
      <c r="Q8" s="118" t="s">
        <v>17</v>
      </c>
      <c r="R8" s="118" t="s">
        <v>18</v>
      </c>
      <c r="S8" s="118" t="s">
        <v>19</v>
      </c>
      <c r="T8" s="118" t="s">
        <v>20</v>
      </c>
    </row>
    <row r="9" spans="1:22" ht="12.75" customHeight="1" x14ac:dyDescent="0.2">
      <c r="A9" s="98"/>
      <c r="B9" s="98"/>
      <c r="C9" s="4"/>
      <c r="D9" s="4"/>
      <c r="E9" s="4"/>
      <c r="F9" s="20"/>
      <c r="G9" s="98"/>
      <c r="I9" s="98"/>
      <c r="J9" s="98"/>
      <c r="K9" s="98"/>
      <c r="L9" s="130"/>
      <c r="M9" s="98"/>
      <c r="N9" s="98"/>
      <c r="O9" s="98"/>
      <c r="P9" s="98"/>
      <c r="Q9" s="98"/>
      <c r="R9" s="98"/>
      <c r="S9" s="98"/>
      <c r="T9" s="98"/>
    </row>
    <row r="10" spans="1:22" ht="12.75" customHeight="1" x14ac:dyDescent="0.2">
      <c r="A10" s="7"/>
      <c r="C10" s="106" t="s">
        <v>51</v>
      </c>
      <c r="D10" s="107" t="s">
        <v>5</v>
      </c>
      <c r="E10" s="108" t="s">
        <v>2</v>
      </c>
      <c r="F10" s="3"/>
      <c r="G10" s="109">
        <v>122.2</v>
      </c>
      <c r="H10" s="12" t="s">
        <v>41</v>
      </c>
      <c r="I10" s="3"/>
      <c r="J10" s="110">
        <v>7182</v>
      </c>
      <c r="K10" s="110">
        <v>5418.0000000000018</v>
      </c>
      <c r="L10" s="110">
        <v>0</v>
      </c>
      <c r="M10" s="110">
        <v>0</v>
      </c>
      <c r="N10" s="110">
        <v>0</v>
      </c>
      <c r="O10" s="3"/>
      <c r="P10" s="8">
        <f t="shared" ref="P10:P14" si="0">J10*$G10</f>
        <v>877640.4</v>
      </c>
      <c r="Q10" s="8">
        <f t="shared" ref="Q10:Q14" si="1">K10*$G10</f>
        <v>662079.60000000021</v>
      </c>
      <c r="R10" s="8">
        <f t="shared" ref="R10:R14" si="2">L10*$G10</f>
        <v>0</v>
      </c>
      <c r="S10" s="8">
        <f t="shared" ref="S10:S14" si="3">M10*$G10</f>
        <v>0</v>
      </c>
      <c r="T10" s="8">
        <f t="shared" ref="T10:T14" si="4">N10*$G10</f>
        <v>0</v>
      </c>
    </row>
    <row r="11" spans="1:22" ht="12.75" customHeight="1" x14ac:dyDescent="0.2">
      <c r="A11" s="7"/>
      <c r="C11" s="106" t="s">
        <v>52</v>
      </c>
      <c r="D11" s="107" t="s">
        <v>5</v>
      </c>
      <c r="E11" s="108" t="s">
        <v>2</v>
      </c>
      <c r="F11" s="3"/>
      <c r="G11" s="109">
        <v>122.2</v>
      </c>
      <c r="H11" s="12" t="s">
        <v>41</v>
      </c>
      <c r="I11" s="3"/>
      <c r="J11" s="111">
        <v>0</v>
      </c>
      <c r="K11" s="111">
        <v>3465</v>
      </c>
      <c r="L11" s="111">
        <v>2834.9999999999991</v>
      </c>
      <c r="M11" s="111">
        <v>0</v>
      </c>
      <c r="N11" s="111">
        <v>0</v>
      </c>
      <c r="O11" s="3"/>
      <c r="P11" s="8">
        <f t="shared" si="0"/>
        <v>0</v>
      </c>
      <c r="Q11" s="8">
        <f t="shared" si="1"/>
        <v>423423</v>
      </c>
      <c r="R11" s="8">
        <f t="shared" si="2"/>
        <v>346436.99999999988</v>
      </c>
      <c r="S11" s="8">
        <f t="shared" si="3"/>
        <v>0</v>
      </c>
      <c r="T11" s="8">
        <f t="shared" si="4"/>
        <v>0</v>
      </c>
    </row>
    <row r="12" spans="1:22" ht="12.75" customHeight="1" x14ac:dyDescent="0.2">
      <c r="A12" s="7"/>
      <c r="C12" s="106" t="s">
        <v>53</v>
      </c>
      <c r="D12" s="107" t="s">
        <v>5</v>
      </c>
      <c r="E12" s="108" t="s">
        <v>2</v>
      </c>
      <c r="F12" s="3"/>
      <c r="G12" s="109">
        <v>122.2</v>
      </c>
      <c r="H12" s="12" t="s">
        <v>41</v>
      </c>
      <c r="I12" s="3"/>
      <c r="J12" s="111">
        <v>17278.272000000001</v>
      </c>
      <c r="K12" s="111">
        <v>8641.728000000001</v>
      </c>
      <c r="L12" s="111">
        <v>0</v>
      </c>
      <c r="M12" s="111">
        <v>0</v>
      </c>
      <c r="N12" s="111">
        <v>0</v>
      </c>
      <c r="O12" s="3"/>
      <c r="P12" s="8">
        <f t="shared" si="0"/>
        <v>2111404.8384000002</v>
      </c>
      <c r="Q12" s="8">
        <f t="shared" si="1"/>
        <v>1056019.1616000002</v>
      </c>
      <c r="R12" s="8">
        <f t="shared" si="2"/>
        <v>0</v>
      </c>
      <c r="S12" s="8">
        <f t="shared" si="3"/>
        <v>0</v>
      </c>
      <c r="T12" s="8">
        <f t="shared" si="4"/>
        <v>0</v>
      </c>
    </row>
    <row r="13" spans="1:22" ht="12.75" customHeight="1" x14ac:dyDescent="0.2">
      <c r="A13" s="7"/>
      <c r="C13" s="106" t="s">
        <v>54</v>
      </c>
      <c r="D13" s="107" t="s">
        <v>5</v>
      </c>
      <c r="E13" s="108" t="s">
        <v>2</v>
      </c>
      <c r="F13" s="3"/>
      <c r="G13" s="109">
        <v>122.2</v>
      </c>
      <c r="H13" s="12" t="s">
        <v>41</v>
      </c>
      <c r="I13" s="3"/>
      <c r="J13" s="111"/>
      <c r="K13" s="111"/>
      <c r="L13" s="111"/>
      <c r="M13" s="111"/>
      <c r="N13" s="111"/>
      <c r="O13" s="3"/>
      <c r="P13" s="8">
        <f t="shared" si="0"/>
        <v>0</v>
      </c>
      <c r="Q13" s="8">
        <f t="shared" si="1"/>
        <v>0</v>
      </c>
      <c r="R13" s="8">
        <f t="shared" si="2"/>
        <v>0</v>
      </c>
      <c r="S13" s="8">
        <f t="shared" si="3"/>
        <v>0</v>
      </c>
      <c r="T13" s="8">
        <f t="shared" si="4"/>
        <v>0</v>
      </c>
    </row>
    <row r="14" spans="1:22" ht="12.75" customHeight="1" x14ac:dyDescent="0.2">
      <c r="A14" s="7"/>
      <c r="C14" s="106" t="s">
        <v>55</v>
      </c>
      <c r="D14" s="107" t="s">
        <v>5</v>
      </c>
      <c r="E14" s="108" t="s">
        <v>2</v>
      </c>
      <c r="F14" s="3"/>
      <c r="G14" s="109">
        <v>122.2</v>
      </c>
      <c r="H14" s="12" t="s">
        <v>41</v>
      </c>
      <c r="I14" s="3"/>
      <c r="J14" s="111">
        <v>0</v>
      </c>
      <c r="K14" s="111">
        <v>6480</v>
      </c>
      <c r="L14" s="111">
        <v>7020</v>
      </c>
      <c r="M14" s="111">
        <v>0</v>
      </c>
      <c r="N14" s="111">
        <v>0</v>
      </c>
      <c r="O14" s="3"/>
      <c r="P14" s="8">
        <f t="shared" si="0"/>
        <v>0</v>
      </c>
      <c r="Q14" s="8">
        <f t="shared" si="1"/>
        <v>791856</v>
      </c>
      <c r="R14" s="8">
        <f t="shared" si="2"/>
        <v>857844</v>
      </c>
      <c r="S14" s="8">
        <f t="shared" si="3"/>
        <v>0</v>
      </c>
      <c r="T14" s="8">
        <f t="shared" si="4"/>
        <v>0</v>
      </c>
    </row>
    <row r="15" spans="1:22" s="98" customFormat="1" ht="12.75" customHeight="1" x14ac:dyDescent="0.2">
      <c r="A15" s="7"/>
      <c r="C15" s="106" t="s">
        <v>56</v>
      </c>
      <c r="D15" s="107" t="s">
        <v>5</v>
      </c>
      <c r="E15" s="108" t="s">
        <v>2</v>
      </c>
      <c r="F15" s="3"/>
      <c r="G15" s="109">
        <v>122.2</v>
      </c>
      <c r="H15" s="12" t="s">
        <v>41</v>
      </c>
      <c r="I15" s="3"/>
      <c r="J15" s="111">
        <v>0</v>
      </c>
      <c r="K15" s="111">
        <v>0</v>
      </c>
      <c r="L15" s="111">
        <v>2646.0000000000005</v>
      </c>
      <c r="M15" s="111">
        <v>2754.0000000000005</v>
      </c>
      <c r="N15" s="111">
        <v>0</v>
      </c>
      <c r="O15" s="3"/>
      <c r="P15" s="8">
        <f t="shared" ref="P15:P21" si="5">J15*$G15</f>
        <v>0</v>
      </c>
      <c r="Q15" s="8">
        <f t="shared" ref="Q15:Q21" si="6">K15*$G15</f>
        <v>0</v>
      </c>
      <c r="R15" s="8">
        <f t="shared" ref="R15:R21" si="7">L15*$G15</f>
        <v>323341.20000000007</v>
      </c>
      <c r="S15" s="8">
        <f t="shared" ref="S15:S21" si="8">M15*$G15</f>
        <v>336538.80000000005</v>
      </c>
      <c r="T15" s="8">
        <f t="shared" ref="T15:T21" si="9">N15*$G15</f>
        <v>0</v>
      </c>
    </row>
    <row r="16" spans="1:22" s="98" customFormat="1" ht="12.75" customHeight="1" x14ac:dyDescent="0.2">
      <c r="A16" s="7"/>
      <c r="C16" s="106" t="s">
        <v>57</v>
      </c>
      <c r="D16" s="107" t="s">
        <v>5</v>
      </c>
      <c r="E16" s="108" t="s">
        <v>2</v>
      </c>
      <c r="F16" s="3"/>
      <c r="G16" s="109">
        <v>122.2</v>
      </c>
      <c r="H16" s="12" t="s">
        <v>41</v>
      </c>
      <c r="I16" s="3"/>
      <c r="J16" s="111">
        <v>0</v>
      </c>
      <c r="K16" s="111">
        <v>0</v>
      </c>
      <c r="L16" s="111">
        <v>6056.1687272727268</v>
      </c>
      <c r="M16" s="111">
        <v>148.92218181818194</v>
      </c>
      <c r="N16" s="111"/>
      <c r="O16" s="3"/>
      <c r="P16" s="8">
        <f t="shared" si="5"/>
        <v>0</v>
      </c>
      <c r="Q16" s="8">
        <f t="shared" si="6"/>
        <v>0</v>
      </c>
      <c r="R16" s="8">
        <f t="shared" si="7"/>
        <v>740063.8184727272</v>
      </c>
      <c r="S16" s="8">
        <f t="shared" si="8"/>
        <v>18198.290618181833</v>
      </c>
      <c r="T16" s="8">
        <f t="shared" si="9"/>
        <v>0</v>
      </c>
    </row>
    <row r="17" spans="1:20" s="98" customFormat="1" ht="12.75" customHeight="1" x14ac:dyDescent="0.2">
      <c r="A17" s="7"/>
      <c r="C17" s="106" t="s">
        <v>58</v>
      </c>
      <c r="D17" s="107" t="s">
        <v>5</v>
      </c>
      <c r="E17" s="108" t="s">
        <v>2</v>
      </c>
      <c r="F17" s="3"/>
      <c r="G17" s="109">
        <v>122.2</v>
      </c>
      <c r="H17" s="12" t="s">
        <v>41</v>
      </c>
      <c r="I17" s="3"/>
      <c r="J17" s="111">
        <v>0</v>
      </c>
      <c r="K17" s="111">
        <v>0</v>
      </c>
      <c r="L17" s="111">
        <v>6120</v>
      </c>
      <c r="M17" s="111">
        <v>0</v>
      </c>
      <c r="N17" s="111">
        <v>0</v>
      </c>
      <c r="O17" s="3"/>
      <c r="P17" s="8">
        <f t="shared" si="5"/>
        <v>0</v>
      </c>
      <c r="Q17" s="8">
        <f t="shared" si="6"/>
        <v>0</v>
      </c>
      <c r="R17" s="8">
        <f t="shared" si="7"/>
        <v>747864</v>
      </c>
      <c r="S17" s="8">
        <f t="shared" si="8"/>
        <v>0</v>
      </c>
      <c r="T17" s="8">
        <f t="shared" si="9"/>
        <v>0</v>
      </c>
    </row>
    <row r="18" spans="1:20" s="98" customFormat="1" ht="12.75" customHeight="1" x14ac:dyDescent="0.2">
      <c r="A18" s="7"/>
      <c r="C18" s="106" t="s">
        <v>59</v>
      </c>
      <c r="D18" s="107" t="s">
        <v>5</v>
      </c>
      <c r="E18" s="108" t="s">
        <v>2</v>
      </c>
      <c r="F18" s="3"/>
      <c r="G18" s="109">
        <v>122.2</v>
      </c>
      <c r="H18" s="12" t="s">
        <v>41</v>
      </c>
      <c r="I18" s="3"/>
      <c r="J18" s="111">
        <v>0</v>
      </c>
      <c r="K18" s="111">
        <v>0</v>
      </c>
      <c r="L18" s="111">
        <v>0</v>
      </c>
      <c r="M18" s="111">
        <v>0</v>
      </c>
      <c r="N18" s="111">
        <v>6300</v>
      </c>
      <c r="O18" s="3"/>
      <c r="P18" s="8">
        <f t="shared" si="5"/>
        <v>0</v>
      </c>
      <c r="Q18" s="8">
        <f t="shared" si="6"/>
        <v>0</v>
      </c>
      <c r="R18" s="8">
        <f t="shared" si="7"/>
        <v>0</v>
      </c>
      <c r="S18" s="8">
        <f t="shared" si="8"/>
        <v>0</v>
      </c>
      <c r="T18" s="8">
        <f t="shared" si="9"/>
        <v>769860</v>
      </c>
    </row>
    <row r="19" spans="1:20" s="98" customFormat="1" ht="12.75" customHeight="1" x14ac:dyDescent="0.2">
      <c r="A19" s="7"/>
      <c r="C19" s="106" t="s">
        <v>60</v>
      </c>
      <c r="D19" s="107" t="s">
        <v>5</v>
      </c>
      <c r="E19" s="108" t="s">
        <v>2</v>
      </c>
      <c r="F19" s="3"/>
      <c r="G19" s="109">
        <v>122.2</v>
      </c>
      <c r="H19" s="12" t="s">
        <v>41</v>
      </c>
      <c r="I19" s="3"/>
      <c r="J19" s="111">
        <v>8362.0394366197015</v>
      </c>
      <c r="K19" s="111">
        <v>4502.6366197183006</v>
      </c>
      <c r="L19" s="111">
        <v>0</v>
      </c>
      <c r="M19" s="111">
        <v>0</v>
      </c>
      <c r="N19" s="111">
        <v>0</v>
      </c>
      <c r="O19" s="3"/>
      <c r="P19" s="8">
        <f t="shared" si="5"/>
        <v>1021841.2191549275</v>
      </c>
      <c r="Q19" s="8">
        <f t="shared" si="6"/>
        <v>550222.19492957636</v>
      </c>
      <c r="R19" s="8">
        <f t="shared" si="7"/>
        <v>0</v>
      </c>
      <c r="S19" s="8">
        <f t="shared" si="8"/>
        <v>0</v>
      </c>
      <c r="T19" s="8">
        <f t="shared" si="9"/>
        <v>0</v>
      </c>
    </row>
    <row r="20" spans="1:20" s="98" customFormat="1" ht="12.75" customHeight="1" x14ac:dyDescent="0.2">
      <c r="A20" s="7"/>
      <c r="C20" s="106" t="s">
        <v>61</v>
      </c>
      <c r="D20" s="107" t="s">
        <v>5</v>
      </c>
      <c r="E20" s="108" t="s">
        <v>2</v>
      </c>
      <c r="F20" s="3"/>
      <c r="G20" s="109">
        <v>122.2</v>
      </c>
      <c r="H20" s="12" t="s">
        <v>41</v>
      </c>
      <c r="I20" s="3"/>
      <c r="J20" s="111">
        <v>796.25292740046791</v>
      </c>
      <c r="K20" s="111">
        <v>1600.9367681498827</v>
      </c>
      <c r="L20" s="111">
        <v>1600.9367681498827</v>
      </c>
      <c r="M20" s="111">
        <v>1600.9367681498827</v>
      </c>
      <c r="N20" s="111">
        <v>1600.9367681498827</v>
      </c>
      <c r="O20" s="3"/>
      <c r="P20" s="8">
        <f t="shared" si="5"/>
        <v>97302.107728337185</v>
      </c>
      <c r="Q20" s="8">
        <f t="shared" si="6"/>
        <v>195634.47306791568</v>
      </c>
      <c r="R20" s="8">
        <f t="shared" si="7"/>
        <v>195634.47306791568</v>
      </c>
      <c r="S20" s="8">
        <f t="shared" si="8"/>
        <v>195634.47306791568</v>
      </c>
      <c r="T20" s="8">
        <f t="shared" si="9"/>
        <v>195634.47306791568</v>
      </c>
    </row>
    <row r="21" spans="1:20" s="98" customFormat="1" ht="12.75" customHeight="1" x14ac:dyDescent="0.2">
      <c r="A21" s="7"/>
      <c r="C21" s="106" t="s">
        <v>62</v>
      </c>
      <c r="D21" s="107" t="s">
        <v>5</v>
      </c>
      <c r="E21" s="108" t="s">
        <v>2</v>
      </c>
      <c r="F21" s="3"/>
      <c r="G21" s="109">
        <v>122.2</v>
      </c>
      <c r="H21" s="12" t="s">
        <v>41</v>
      </c>
      <c r="I21" s="3"/>
      <c r="J21" s="111">
        <v>0</v>
      </c>
      <c r="K21" s="111">
        <v>3527.9999999999995</v>
      </c>
      <c r="L21" s="111">
        <v>3671.9999999999995</v>
      </c>
      <c r="M21" s="111">
        <v>0</v>
      </c>
      <c r="N21" s="111">
        <v>0</v>
      </c>
      <c r="O21" s="3"/>
      <c r="P21" s="8">
        <f t="shared" si="5"/>
        <v>0</v>
      </c>
      <c r="Q21" s="8">
        <f t="shared" si="6"/>
        <v>431121.6</v>
      </c>
      <c r="R21" s="8">
        <f t="shared" si="7"/>
        <v>448718.39999999997</v>
      </c>
      <c r="S21" s="8">
        <f t="shared" si="8"/>
        <v>0</v>
      </c>
      <c r="T21" s="8">
        <f t="shared" si="9"/>
        <v>0</v>
      </c>
    </row>
    <row r="22" spans="1:20" ht="12.75" customHeight="1" x14ac:dyDescent="0.2">
      <c r="A22" s="7"/>
      <c r="C22" s="98"/>
      <c r="D22" s="98"/>
      <c r="E22" s="98"/>
      <c r="F22" s="3"/>
      <c r="G22" s="98"/>
      <c r="I22" s="3"/>
      <c r="J22" s="98"/>
      <c r="K22" s="98"/>
      <c r="L22" s="98"/>
      <c r="M22" s="98"/>
      <c r="N22" s="98"/>
      <c r="O22" s="3"/>
    </row>
    <row r="23" spans="1:20" ht="12.75" customHeight="1" x14ac:dyDescent="0.2">
      <c r="A23" s="7"/>
      <c r="C23" s="98"/>
      <c r="D23" s="98"/>
      <c r="E23" s="98"/>
      <c r="F23" s="3"/>
      <c r="G23" s="98"/>
      <c r="I23" s="3"/>
      <c r="J23" s="98"/>
      <c r="K23" s="98"/>
      <c r="L23" s="98"/>
      <c r="M23" s="98"/>
      <c r="N23" s="98"/>
      <c r="O23" s="3"/>
    </row>
    <row r="24" spans="1:20" ht="12.75" customHeight="1" x14ac:dyDescent="0.2">
      <c r="A24" s="7"/>
      <c r="C24" s="106" t="s">
        <v>51</v>
      </c>
      <c r="D24" s="107" t="s">
        <v>5</v>
      </c>
      <c r="E24" s="108" t="s">
        <v>1</v>
      </c>
      <c r="F24" s="3"/>
      <c r="G24" s="120">
        <v>10000</v>
      </c>
      <c r="H24" s="12" t="s">
        <v>42</v>
      </c>
      <c r="I24" s="3"/>
      <c r="J24" s="119">
        <v>27</v>
      </c>
      <c r="K24" s="119">
        <v>26</v>
      </c>
      <c r="L24" s="119"/>
      <c r="M24" s="119"/>
      <c r="N24" s="119"/>
      <c r="O24" s="3"/>
      <c r="P24" s="8">
        <f t="shared" ref="P24" si="10">J24*$G24</f>
        <v>270000</v>
      </c>
      <c r="Q24" s="8">
        <f t="shared" ref="Q24" si="11">K24*$G24</f>
        <v>260000</v>
      </c>
      <c r="R24" s="8">
        <f t="shared" ref="R24" si="12">L24*$G24</f>
        <v>0</v>
      </c>
      <c r="S24" s="8">
        <f t="shared" ref="S24" si="13">M24*$G24</f>
        <v>0</v>
      </c>
      <c r="T24" s="8">
        <f t="shared" ref="T24" si="14">N24*$G24</f>
        <v>0</v>
      </c>
    </row>
    <row r="25" spans="1:20" s="98" customFormat="1" ht="12.75" customHeight="1" x14ac:dyDescent="0.2">
      <c r="A25" s="7"/>
      <c r="C25" s="106" t="s">
        <v>52</v>
      </c>
      <c r="D25" s="107" t="s">
        <v>5</v>
      </c>
      <c r="E25" s="108" t="s">
        <v>1</v>
      </c>
      <c r="F25" s="3"/>
      <c r="G25" s="120">
        <v>6000</v>
      </c>
      <c r="H25" s="12" t="s">
        <v>42</v>
      </c>
      <c r="I25" s="3"/>
      <c r="J25" s="119"/>
      <c r="K25" s="119">
        <v>26</v>
      </c>
      <c r="L25" s="119">
        <v>26</v>
      </c>
      <c r="M25" s="119"/>
      <c r="N25" s="119"/>
      <c r="O25" s="3"/>
      <c r="P25" s="8">
        <f t="shared" ref="P25:P31" si="15">J25*$G25</f>
        <v>0</v>
      </c>
      <c r="Q25" s="8">
        <f t="shared" ref="Q25:Q31" si="16">K25*$G25</f>
        <v>156000</v>
      </c>
      <c r="R25" s="8">
        <f t="shared" ref="R25:R31" si="17">L25*$G25</f>
        <v>156000</v>
      </c>
      <c r="S25" s="8">
        <f t="shared" ref="S25:S31" si="18">M25*$G25</f>
        <v>0</v>
      </c>
      <c r="T25" s="8">
        <f t="shared" ref="T25:T31" si="19">N25*$G25</f>
        <v>0</v>
      </c>
    </row>
    <row r="26" spans="1:20" s="98" customFormat="1" ht="12.75" customHeight="1" x14ac:dyDescent="0.2">
      <c r="A26" s="7"/>
      <c r="C26" s="106" t="s">
        <v>55</v>
      </c>
      <c r="D26" s="107" t="s">
        <v>5</v>
      </c>
      <c r="E26" s="108" t="s">
        <v>1</v>
      </c>
      <c r="F26" s="3"/>
      <c r="G26" s="120">
        <v>10000</v>
      </c>
      <c r="H26" s="12" t="s">
        <v>42</v>
      </c>
      <c r="I26" s="3"/>
      <c r="J26" s="119"/>
      <c r="K26" s="119">
        <v>26</v>
      </c>
      <c r="L26" s="119">
        <v>26</v>
      </c>
      <c r="M26" s="119"/>
      <c r="N26" s="119"/>
      <c r="O26" s="3"/>
      <c r="P26" s="8">
        <f t="shared" si="15"/>
        <v>0</v>
      </c>
      <c r="Q26" s="8">
        <f t="shared" si="16"/>
        <v>260000</v>
      </c>
      <c r="R26" s="8">
        <f t="shared" si="17"/>
        <v>260000</v>
      </c>
      <c r="S26" s="8">
        <f t="shared" si="18"/>
        <v>0</v>
      </c>
      <c r="T26" s="8">
        <f t="shared" si="19"/>
        <v>0</v>
      </c>
    </row>
    <row r="27" spans="1:20" s="98" customFormat="1" ht="12.75" customHeight="1" x14ac:dyDescent="0.2">
      <c r="A27" s="7"/>
      <c r="C27" s="106" t="s">
        <v>56</v>
      </c>
      <c r="D27" s="107" t="s">
        <v>5</v>
      </c>
      <c r="E27" s="108" t="s">
        <v>1</v>
      </c>
      <c r="F27" s="3"/>
      <c r="G27" s="120">
        <v>6000</v>
      </c>
      <c r="H27" s="12" t="s">
        <v>42</v>
      </c>
      <c r="I27" s="3"/>
      <c r="J27" s="119"/>
      <c r="K27" s="119"/>
      <c r="L27" s="119">
        <v>25</v>
      </c>
      <c r="M27" s="119">
        <v>26</v>
      </c>
      <c r="N27" s="119"/>
      <c r="O27" s="3"/>
      <c r="P27" s="8">
        <f t="shared" si="15"/>
        <v>0</v>
      </c>
      <c r="Q27" s="8">
        <f t="shared" si="16"/>
        <v>0</v>
      </c>
      <c r="R27" s="8">
        <f t="shared" si="17"/>
        <v>150000</v>
      </c>
      <c r="S27" s="8">
        <f t="shared" si="18"/>
        <v>156000</v>
      </c>
      <c r="T27" s="8">
        <f t="shared" si="19"/>
        <v>0</v>
      </c>
    </row>
    <row r="28" spans="1:20" s="98" customFormat="1" ht="12.75" customHeight="1" x14ac:dyDescent="0.2">
      <c r="A28" s="7"/>
      <c r="C28" s="106" t="s">
        <v>57</v>
      </c>
      <c r="D28" s="107" t="s">
        <v>5</v>
      </c>
      <c r="E28" s="108" t="s">
        <v>1</v>
      </c>
      <c r="F28" s="3"/>
      <c r="G28" s="120">
        <v>6000</v>
      </c>
      <c r="H28" s="12" t="s">
        <v>42</v>
      </c>
      <c r="I28" s="3"/>
      <c r="J28" s="119"/>
      <c r="K28" s="119"/>
      <c r="L28" s="119">
        <v>50</v>
      </c>
      <c r="M28" s="119">
        <v>2</v>
      </c>
      <c r="N28" s="119"/>
      <c r="O28" s="3"/>
      <c r="P28" s="8">
        <f t="shared" si="15"/>
        <v>0</v>
      </c>
      <c r="Q28" s="8">
        <f t="shared" si="16"/>
        <v>0</v>
      </c>
      <c r="R28" s="8">
        <f t="shared" si="17"/>
        <v>300000</v>
      </c>
      <c r="S28" s="8">
        <f t="shared" si="18"/>
        <v>12000</v>
      </c>
      <c r="T28" s="8">
        <f t="shared" si="19"/>
        <v>0</v>
      </c>
    </row>
    <row r="29" spans="1:20" s="98" customFormat="1" ht="12.75" customHeight="1" x14ac:dyDescent="0.2">
      <c r="A29" s="7"/>
      <c r="C29" s="106" t="s">
        <v>58</v>
      </c>
      <c r="D29" s="107" t="s">
        <v>5</v>
      </c>
      <c r="E29" s="108" t="s">
        <v>1</v>
      </c>
      <c r="F29" s="3"/>
      <c r="G29" s="120">
        <v>6000</v>
      </c>
      <c r="H29" s="12" t="s">
        <v>42</v>
      </c>
      <c r="I29" s="3"/>
      <c r="J29" s="119"/>
      <c r="K29" s="119"/>
      <c r="L29" s="119">
        <v>52</v>
      </c>
      <c r="M29" s="119"/>
      <c r="N29" s="119"/>
      <c r="O29" s="3"/>
      <c r="P29" s="8">
        <f t="shared" si="15"/>
        <v>0</v>
      </c>
      <c r="Q29" s="8">
        <f t="shared" si="16"/>
        <v>0</v>
      </c>
      <c r="R29" s="8">
        <f t="shared" si="17"/>
        <v>312000</v>
      </c>
      <c r="S29" s="8">
        <f t="shared" si="18"/>
        <v>0</v>
      </c>
      <c r="T29" s="8">
        <f t="shared" si="19"/>
        <v>0</v>
      </c>
    </row>
    <row r="30" spans="1:20" s="98" customFormat="1" ht="12.75" customHeight="1" x14ac:dyDescent="0.2">
      <c r="A30" s="7"/>
      <c r="C30" s="106" t="s">
        <v>59</v>
      </c>
      <c r="D30" s="107" t="s">
        <v>5</v>
      </c>
      <c r="E30" s="108" t="s">
        <v>1</v>
      </c>
      <c r="F30" s="3"/>
      <c r="G30" s="120">
        <v>300000</v>
      </c>
      <c r="H30" s="12" t="s">
        <v>42</v>
      </c>
      <c r="I30" s="3"/>
      <c r="J30" s="119"/>
      <c r="K30" s="119"/>
      <c r="L30" s="119"/>
      <c r="M30" s="119"/>
      <c r="N30" s="119">
        <v>1</v>
      </c>
      <c r="O30" s="3"/>
      <c r="P30" s="8">
        <f t="shared" si="15"/>
        <v>0</v>
      </c>
      <c r="Q30" s="8">
        <f t="shared" si="16"/>
        <v>0</v>
      </c>
      <c r="R30" s="8">
        <f t="shared" si="17"/>
        <v>0</v>
      </c>
      <c r="S30" s="8">
        <f t="shared" si="18"/>
        <v>0</v>
      </c>
      <c r="T30" s="8">
        <f t="shared" si="19"/>
        <v>300000</v>
      </c>
    </row>
    <row r="31" spans="1:20" s="98" customFormat="1" ht="12.75" customHeight="1" x14ac:dyDescent="0.2">
      <c r="A31" s="7"/>
      <c r="C31" s="106" t="s">
        <v>60</v>
      </c>
      <c r="D31" s="107" t="s">
        <v>5</v>
      </c>
      <c r="E31" s="108" t="s">
        <v>1</v>
      </c>
      <c r="F31" s="3"/>
      <c r="G31" s="120">
        <v>10000</v>
      </c>
      <c r="H31" s="12" t="s">
        <v>42</v>
      </c>
      <c r="I31" s="3"/>
      <c r="J31" s="119">
        <v>36</v>
      </c>
      <c r="K31" s="119">
        <v>18</v>
      </c>
      <c r="L31" s="119"/>
      <c r="M31" s="119"/>
      <c r="N31" s="119"/>
      <c r="O31" s="3"/>
      <c r="P31" s="8">
        <f t="shared" si="15"/>
        <v>360000</v>
      </c>
      <c r="Q31" s="8">
        <f t="shared" si="16"/>
        <v>180000</v>
      </c>
      <c r="R31" s="8">
        <f t="shared" si="17"/>
        <v>0</v>
      </c>
      <c r="S31" s="8">
        <f t="shared" si="18"/>
        <v>0</v>
      </c>
      <c r="T31" s="8">
        <f t="shared" si="19"/>
        <v>0</v>
      </c>
    </row>
    <row r="32" spans="1:20" s="98" customFormat="1" ht="12.75" customHeight="1" x14ac:dyDescent="0.2">
      <c r="A32" s="7"/>
      <c r="C32" s="106" t="s">
        <v>61</v>
      </c>
      <c r="D32" s="107" t="s">
        <v>5</v>
      </c>
      <c r="E32" s="108" t="s">
        <v>1</v>
      </c>
      <c r="F32" s="3"/>
      <c r="G32" s="120">
        <v>466666.66666666663</v>
      </c>
      <c r="H32" s="12" t="s">
        <v>42</v>
      </c>
      <c r="I32" s="3"/>
      <c r="J32" s="119">
        <v>1</v>
      </c>
      <c r="K32" s="119">
        <v>2</v>
      </c>
      <c r="L32" s="119">
        <v>2</v>
      </c>
      <c r="M32" s="119">
        <v>2</v>
      </c>
      <c r="N32" s="119">
        <v>2</v>
      </c>
      <c r="O32" s="3"/>
      <c r="P32" s="8">
        <f t="shared" ref="P32:P33" si="20">J32*$G32</f>
        <v>466666.66666666663</v>
      </c>
      <c r="Q32" s="8">
        <f t="shared" ref="Q32:Q33" si="21">K32*$G32</f>
        <v>933333.33333333326</v>
      </c>
      <c r="R32" s="8">
        <f t="shared" ref="R32:R33" si="22">L32*$G32</f>
        <v>933333.33333333326</v>
      </c>
      <c r="S32" s="8">
        <f t="shared" ref="S32:S33" si="23">M32*$G32</f>
        <v>933333.33333333326</v>
      </c>
      <c r="T32" s="8">
        <f t="shared" ref="T32:T33" si="24">N32*$G32</f>
        <v>933333.33333333326</v>
      </c>
    </row>
    <row r="33" spans="1:21" s="98" customFormat="1" ht="12.75" customHeight="1" x14ac:dyDescent="0.2">
      <c r="A33" s="7"/>
      <c r="C33" s="106" t="s">
        <v>62</v>
      </c>
      <c r="D33" s="107" t="s">
        <v>5</v>
      </c>
      <c r="E33" s="108" t="s">
        <v>1</v>
      </c>
      <c r="F33" s="3"/>
      <c r="G33" s="120">
        <v>6000</v>
      </c>
      <c r="H33" s="12" t="s">
        <v>42</v>
      </c>
      <c r="I33" s="3"/>
      <c r="J33" s="119"/>
      <c r="K33" s="119">
        <v>26</v>
      </c>
      <c r="L33" s="119">
        <v>26</v>
      </c>
      <c r="M33" s="119"/>
      <c r="N33" s="119"/>
      <c r="O33" s="3"/>
      <c r="P33" s="8">
        <f t="shared" si="20"/>
        <v>0</v>
      </c>
      <c r="Q33" s="8">
        <f t="shared" si="21"/>
        <v>156000</v>
      </c>
      <c r="R33" s="8">
        <f t="shared" si="22"/>
        <v>156000</v>
      </c>
      <c r="S33" s="8">
        <f t="shared" si="23"/>
        <v>0</v>
      </c>
      <c r="T33" s="8">
        <f t="shared" si="24"/>
        <v>0</v>
      </c>
    </row>
    <row r="34" spans="1:21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</row>
    <row r="35" spans="1:21" ht="12.7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</row>
    <row r="36" spans="1:21" ht="12.75" customHeight="1" x14ac:dyDescent="0.2">
      <c r="A36" s="7"/>
      <c r="C36" s="106"/>
      <c r="D36" s="107"/>
      <c r="E36" s="108"/>
      <c r="F36" s="98"/>
      <c r="G36" s="6"/>
      <c r="H36" s="13" t="s">
        <v>43</v>
      </c>
      <c r="I36" s="98"/>
      <c r="J36" s="119"/>
      <c r="K36" s="119"/>
      <c r="L36" s="119"/>
      <c r="M36" s="119"/>
      <c r="N36" s="119"/>
      <c r="P36" s="8">
        <f t="shared" ref="P36" si="25">J36</f>
        <v>0</v>
      </c>
      <c r="Q36" s="8">
        <f t="shared" ref="Q36" si="26">K36</f>
        <v>0</v>
      </c>
      <c r="R36" s="8">
        <f t="shared" ref="R36" si="27">L36</f>
        <v>0</v>
      </c>
      <c r="S36" s="8">
        <f t="shared" ref="S36" si="28">M36</f>
        <v>0</v>
      </c>
      <c r="T36" s="8">
        <f t="shared" ref="T36" si="29">N36</f>
        <v>0</v>
      </c>
    </row>
    <row r="37" spans="1:21" s="98" customFormat="1" ht="12.75" customHeight="1" x14ac:dyDescent="0.2">
      <c r="A37" s="7"/>
      <c r="C37" s="106"/>
      <c r="D37" s="107"/>
      <c r="E37" s="108"/>
      <c r="G37" s="6"/>
      <c r="H37" s="13" t="s">
        <v>43</v>
      </c>
      <c r="J37" s="119"/>
      <c r="K37" s="119"/>
      <c r="L37" s="119"/>
      <c r="M37" s="119"/>
      <c r="N37" s="119"/>
      <c r="P37" s="8">
        <f t="shared" ref="P37:P39" si="30">J37</f>
        <v>0</v>
      </c>
      <c r="Q37" s="8">
        <f t="shared" ref="Q37:Q39" si="31">K37</f>
        <v>0</v>
      </c>
      <c r="R37" s="8">
        <f t="shared" ref="R37:R39" si="32">L37</f>
        <v>0</v>
      </c>
      <c r="S37" s="8">
        <f t="shared" ref="S37:S39" si="33">M37</f>
        <v>0</v>
      </c>
      <c r="T37" s="8">
        <f t="shared" ref="T37:T39" si="34">N37</f>
        <v>0</v>
      </c>
    </row>
    <row r="38" spans="1:21" s="98" customFormat="1" ht="12.75" customHeight="1" x14ac:dyDescent="0.2">
      <c r="A38" s="7"/>
      <c r="C38" s="106"/>
      <c r="D38" s="107"/>
      <c r="E38" s="108"/>
      <c r="G38" s="6"/>
      <c r="H38" s="13" t="s">
        <v>43</v>
      </c>
      <c r="J38" s="119"/>
      <c r="K38" s="119"/>
      <c r="L38" s="119"/>
      <c r="M38" s="119"/>
      <c r="N38" s="119"/>
      <c r="P38" s="8">
        <f t="shared" si="30"/>
        <v>0</v>
      </c>
      <c r="Q38" s="8">
        <f t="shared" si="31"/>
        <v>0</v>
      </c>
      <c r="R38" s="8">
        <f t="shared" si="32"/>
        <v>0</v>
      </c>
      <c r="S38" s="8">
        <f t="shared" si="33"/>
        <v>0</v>
      </c>
      <c r="T38" s="8">
        <f t="shared" si="34"/>
        <v>0</v>
      </c>
    </row>
    <row r="39" spans="1:21" s="98" customFormat="1" ht="12.75" customHeight="1" x14ac:dyDescent="0.2">
      <c r="A39" s="7"/>
      <c r="C39" s="106"/>
      <c r="D39" s="107"/>
      <c r="E39" s="108"/>
      <c r="G39" s="6"/>
      <c r="H39" s="13" t="s">
        <v>43</v>
      </c>
      <c r="J39" s="119"/>
      <c r="K39" s="119"/>
      <c r="L39" s="119"/>
      <c r="M39" s="119"/>
      <c r="N39" s="119"/>
      <c r="P39" s="8">
        <f t="shared" si="30"/>
        <v>0</v>
      </c>
      <c r="Q39" s="8">
        <f t="shared" si="31"/>
        <v>0</v>
      </c>
      <c r="R39" s="8">
        <f t="shared" si="32"/>
        <v>0</v>
      </c>
      <c r="S39" s="8">
        <f t="shared" si="33"/>
        <v>0</v>
      </c>
      <c r="T39" s="8">
        <f t="shared" si="34"/>
        <v>0</v>
      </c>
    </row>
    <row r="40" spans="1:21" ht="12.75" customHeight="1" x14ac:dyDescent="0.2">
      <c r="F40" s="3"/>
      <c r="I40" s="3"/>
      <c r="O40" s="3"/>
    </row>
    <row r="41" spans="1:21" ht="12.75" customHeight="1" x14ac:dyDescent="0.2">
      <c r="F41" s="3"/>
      <c r="I41" s="3"/>
      <c r="O41" s="3"/>
    </row>
    <row r="42" spans="1:21" ht="12.75" customHeight="1" x14ac:dyDescent="0.2">
      <c r="C42" s="5" t="s">
        <v>13</v>
      </c>
      <c r="F42" s="3"/>
      <c r="I42" s="3"/>
      <c r="O42" s="3"/>
    </row>
    <row r="43" spans="1:21" ht="12.75" customHeight="1" x14ac:dyDescent="0.2">
      <c r="C43" s="28" t="s">
        <v>2</v>
      </c>
      <c r="D43" s="28" t="s">
        <v>5</v>
      </c>
      <c r="E43" s="28"/>
      <c r="F43" s="3"/>
      <c r="G43" s="28"/>
      <c r="H43" s="29"/>
      <c r="I43" s="3"/>
      <c r="J43" s="28"/>
      <c r="K43" s="28"/>
      <c r="L43" s="28"/>
      <c r="M43" s="28"/>
      <c r="N43" s="28"/>
      <c r="O43" s="3"/>
      <c r="P43" s="30">
        <f t="shared" ref="P43:T48" si="35">SUMIFS(P$10:P$39,$E$10:$E$39,$C43,$D$10:$D$39,$D43)</f>
        <v>4108188.565283265</v>
      </c>
      <c r="Q43" s="30">
        <f t="shared" si="35"/>
        <v>4110356.0295974924</v>
      </c>
      <c r="R43" s="30">
        <f t="shared" si="35"/>
        <v>3659902.8915406428</v>
      </c>
      <c r="S43" s="30">
        <f t="shared" si="35"/>
        <v>550371.56368609751</v>
      </c>
      <c r="T43" s="30">
        <f t="shared" si="35"/>
        <v>965494.47306791565</v>
      </c>
    </row>
    <row r="44" spans="1:21" ht="12.75" customHeight="1" x14ac:dyDescent="0.2">
      <c r="C44" s="4" t="s">
        <v>1</v>
      </c>
      <c r="D44" s="4" t="s">
        <v>5</v>
      </c>
      <c r="E44" s="4"/>
      <c r="F44" s="3"/>
      <c r="G44" s="4"/>
      <c r="H44" s="13"/>
      <c r="I44" s="3"/>
      <c r="J44" s="4"/>
      <c r="K44" s="4"/>
      <c r="L44" s="4"/>
      <c r="M44" s="4"/>
      <c r="N44" s="4"/>
      <c r="O44" s="3"/>
      <c r="P44" s="9">
        <f t="shared" si="35"/>
        <v>1096666.6666666665</v>
      </c>
      <c r="Q44" s="9">
        <f t="shared" si="35"/>
        <v>1945333.3333333333</v>
      </c>
      <c r="R44" s="9">
        <f t="shared" si="35"/>
        <v>2267333.333333333</v>
      </c>
      <c r="S44" s="9">
        <f t="shared" si="35"/>
        <v>1101333.3333333333</v>
      </c>
      <c r="T44" s="9">
        <f t="shared" si="35"/>
        <v>1233333.3333333333</v>
      </c>
    </row>
    <row r="45" spans="1:21" ht="12.75" customHeight="1" x14ac:dyDescent="0.2">
      <c r="C45" s="4" t="s">
        <v>4</v>
      </c>
      <c r="D45" s="4" t="s">
        <v>5</v>
      </c>
      <c r="E45" s="4"/>
      <c r="F45" s="3"/>
      <c r="G45" s="4"/>
      <c r="H45" s="13"/>
      <c r="I45" s="3"/>
      <c r="J45" s="4"/>
      <c r="K45" s="4"/>
      <c r="L45" s="4"/>
      <c r="M45" s="4"/>
      <c r="N45" s="4"/>
      <c r="O45" s="3"/>
      <c r="P45" s="9">
        <f t="shared" si="35"/>
        <v>0</v>
      </c>
      <c r="Q45" s="9">
        <f t="shared" si="35"/>
        <v>0</v>
      </c>
      <c r="R45" s="9">
        <f t="shared" si="35"/>
        <v>0</v>
      </c>
      <c r="S45" s="9">
        <f t="shared" si="35"/>
        <v>0</v>
      </c>
      <c r="T45" s="9">
        <f t="shared" si="35"/>
        <v>0</v>
      </c>
    </row>
    <row r="46" spans="1:21" ht="12.75" customHeight="1" x14ac:dyDescent="0.2">
      <c r="C46" s="4" t="s">
        <v>2</v>
      </c>
      <c r="D46" s="4" t="s">
        <v>40</v>
      </c>
      <c r="E46" s="4"/>
      <c r="F46" s="3"/>
      <c r="G46" s="4"/>
      <c r="H46" s="13"/>
      <c r="I46" s="3"/>
      <c r="J46" s="4"/>
      <c r="K46" s="4"/>
      <c r="L46" s="4"/>
      <c r="M46" s="4"/>
      <c r="N46" s="4"/>
      <c r="O46" s="3"/>
      <c r="P46" s="9">
        <f t="shared" si="35"/>
        <v>0</v>
      </c>
      <c r="Q46" s="9">
        <f t="shared" si="35"/>
        <v>0</v>
      </c>
      <c r="R46" s="9">
        <f t="shared" si="35"/>
        <v>0</v>
      </c>
      <c r="S46" s="9">
        <f t="shared" si="35"/>
        <v>0</v>
      </c>
      <c r="T46" s="9">
        <f t="shared" si="35"/>
        <v>0</v>
      </c>
    </row>
    <row r="47" spans="1:21" ht="12.75" customHeight="1" x14ac:dyDescent="0.2">
      <c r="C47" s="4" t="s">
        <v>1</v>
      </c>
      <c r="D47" s="4" t="s">
        <v>40</v>
      </c>
      <c r="E47" s="4"/>
      <c r="F47" s="3"/>
      <c r="G47" s="4"/>
      <c r="H47" s="13"/>
      <c r="I47" s="3"/>
      <c r="J47" s="4"/>
      <c r="K47" s="4"/>
      <c r="L47" s="4"/>
      <c r="M47" s="4"/>
      <c r="N47" s="4"/>
      <c r="O47" s="3"/>
      <c r="P47" s="9">
        <f t="shared" si="35"/>
        <v>0</v>
      </c>
      <c r="Q47" s="9">
        <f t="shared" si="35"/>
        <v>0</v>
      </c>
      <c r="R47" s="9">
        <f t="shared" si="35"/>
        <v>0</v>
      </c>
      <c r="S47" s="9">
        <f t="shared" si="35"/>
        <v>0</v>
      </c>
      <c r="T47" s="9">
        <f t="shared" si="35"/>
        <v>0</v>
      </c>
    </row>
    <row r="48" spans="1:21" ht="12.75" customHeight="1" x14ac:dyDescent="0.2">
      <c r="C48" s="4" t="s">
        <v>4</v>
      </c>
      <c r="D48" s="4" t="s">
        <v>40</v>
      </c>
      <c r="E48" s="7"/>
      <c r="F48" s="3"/>
      <c r="G48" s="7"/>
      <c r="H48" s="31"/>
      <c r="I48" s="3"/>
      <c r="J48" s="7"/>
      <c r="K48" s="7"/>
      <c r="L48" s="7"/>
      <c r="M48" s="7"/>
      <c r="N48" s="7"/>
      <c r="O48" s="3"/>
      <c r="P48" s="9">
        <f t="shared" si="35"/>
        <v>0</v>
      </c>
      <c r="Q48" s="9">
        <f t="shared" si="35"/>
        <v>0</v>
      </c>
      <c r="R48" s="9">
        <f t="shared" si="35"/>
        <v>0</v>
      </c>
      <c r="S48" s="9">
        <f t="shared" si="35"/>
        <v>0</v>
      </c>
      <c r="T48" s="9">
        <f t="shared" si="35"/>
        <v>0</v>
      </c>
    </row>
    <row r="49" spans="3:23" ht="12.75" customHeight="1" x14ac:dyDescent="0.2">
      <c r="C49" s="10" t="str">
        <f>"Total Expenditure ($ "&amp;Assumptions!$B$8&amp;")"</f>
        <v>Total Expenditure ($ 2018)</v>
      </c>
      <c r="D49" s="10"/>
      <c r="E49" s="10"/>
      <c r="F49" s="3"/>
      <c r="G49" s="10"/>
      <c r="H49" s="14"/>
      <c r="I49" s="3"/>
      <c r="J49" s="10"/>
      <c r="K49" s="10"/>
      <c r="L49" s="10"/>
      <c r="M49" s="10"/>
      <c r="N49" s="10"/>
      <c r="O49" s="3"/>
      <c r="P49" s="11">
        <f>SUM(P43:P48)</f>
        <v>5204855.231949931</v>
      </c>
      <c r="Q49" s="11">
        <f t="shared" ref="Q49:T49" si="36">SUM(Q43:Q48)</f>
        <v>6055689.3629308259</v>
      </c>
      <c r="R49" s="11">
        <f t="shared" si="36"/>
        <v>5927236.2248739759</v>
      </c>
      <c r="S49" s="11">
        <f t="shared" si="36"/>
        <v>1651704.8970194308</v>
      </c>
      <c r="T49" s="11">
        <f t="shared" si="36"/>
        <v>2198827.806401249</v>
      </c>
      <c r="U49" s="42"/>
      <c r="V49" s="131"/>
      <c r="W49" s="131"/>
    </row>
    <row r="50" spans="3:23" ht="12.75" customHeight="1" x14ac:dyDescent="0.2">
      <c r="C50" s="28" t="str">
        <f>"Total Expenditure ($ "&amp;Assumptions!B17&amp;")"</f>
        <v>Total Expenditure ($ 2020/21)</v>
      </c>
      <c r="D50" s="28"/>
      <c r="E50" s="28"/>
      <c r="F50" s="3"/>
      <c r="G50" s="28"/>
      <c r="H50" s="29"/>
      <c r="I50" s="3"/>
      <c r="J50" s="28"/>
      <c r="K50" s="28"/>
      <c r="L50" s="28"/>
      <c r="M50" s="28"/>
      <c r="N50" s="28"/>
      <c r="O50" s="3"/>
      <c r="P50" s="43">
        <f>P49*Assumptions!$B$18</f>
        <v>5512166.5979151772</v>
      </c>
      <c r="Q50" s="43">
        <f>Q49*Assumptions!$B$18</f>
        <v>6413236.7080634758</v>
      </c>
      <c r="R50" s="43">
        <f>R49*Assumptions!$B$18</f>
        <v>6277199.2842657939</v>
      </c>
      <c r="S50" s="43">
        <f>S49*Assumptions!$B$18</f>
        <v>1749226.8578529824</v>
      </c>
      <c r="T50" s="43">
        <f>T49*Assumptions!$B$18</f>
        <v>2328653.6606458793</v>
      </c>
      <c r="U50" s="42"/>
    </row>
    <row r="51" spans="3:23" ht="12.75" customHeight="1" x14ac:dyDescent="0.2">
      <c r="C51" s="99" t="s">
        <v>12</v>
      </c>
      <c r="D51" s="99"/>
      <c r="E51" s="99"/>
      <c r="F51" s="3"/>
      <c r="G51" s="99"/>
      <c r="H51" s="99"/>
      <c r="I51" s="3"/>
      <c r="J51" s="99"/>
      <c r="K51" s="99"/>
      <c r="L51" s="99"/>
      <c r="M51" s="99"/>
      <c r="N51" s="99"/>
      <c r="O51" s="3"/>
      <c r="P51" s="100">
        <f>P49-SUM(P10:P39)</f>
        <v>0</v>
      </c>
      <c r="Q51" s="100">
        <f t="shared" ref="Q51:T51" si="37">Q49-SUM(Q10:Q39)</f>
        <v>0</v>
      </c>
      <c r="R51" s="100">
        <f t="shared" si="37"/>
        <v>0</v>
      </c>
      <c r="S51" s="100">
        <f t="shared" si="37"/>
        <v>0</v>
      </c>
      <c r="T51" s="100">
        <f t="shared" si="37"/>
        <v>0</v>
      </c>
    </row>
    <row r="52" spans="3:23" ht="12.75" customHeight="1" x14ac:dyDescent="0.2">
      <c r="F52" s="3"/>
      <c r="I52" s="3"/>
      <c r="O52" s="3"/>
    </row>
    <row r="53" spans="3:23" ht="12.75" customHeight="1" x14ac:dyDescent="0.2">
      <c r="C53" s="123" t="str">
        <f>"NPV ($ "&amp;Assumptions!$B$17&amp;")"</f>
        <v>NPV ($ 2020/21)</v>
      </c>
      <c r="D53" s="124">
        <f>NPV(Assumptions!$B$6,$P$50:$T$50)</f>
        <v>20828361.173278898</v>
      </c>
      <c r="F53" s="3"/>
      <c r="I53" s="3"/>
      <c r="O53" s="3"/>
    </row>
    <row r="54" spans="3:23" ht="12.75" customHeight="1" x14ac:dyDescent="0.2">
      <c r="O54" s="3"/>
    </row>
    <row r="55" spans="3:23" ht="12.75" customHeight="1" x14ac:dyDescent="0.2">
      <c r="O55" s="3"/>
    </row>
    <row r="56" spans="3:23" ht="12.75" customHeight="1" x14ac:dyDescent="0.2"/>
    <row r="57" spans="3:23" ht="12.75" customHeight="1" x14ac:dyDescent="0.2"/>
    <row r="58" spans="3:23" ht="12.75" customHeight="1" x14ac:dyDescent="0.2"/>
  </sheetData>
  <sortState ref="B53:B55">
    <sortCondition ref="B53:B55"/>
  </sortState>
  <conditionalFormatting sqref="P51:T51">
    <cfRule type="expression" dxfId="0" priority="1">
      <formula>ABS(P51)&gt;0.001</formula>
    </cfRule>
  </conditionalFormatting>
  <dataValidations count="2">
    <dataValidation type="list" allowBlank="1" showInputMessage="1" showErrorMessage="1" sqref="D10:D21 D36:D39 D24:D33">
      <formula1>"CapEx, OpEx"</formula1>
    </dataValidation>
    <dataValidation type="list" allowBlank="1" showInputMessage="1" showErrorMessage="1" sqref="E10:E21 E36:E39 E24:E33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Output</vt:lpstr>
      <vt:lpstr>Summary</vt:lpstr>
      <vt:lpstr>Assumptions</vt:lpstr>
      <vt:lpstr>Option 1</vt:lpstr>
      <vt:lpstr>Conv_2021</vt:lpstr>
      <vt:lpstr>Option1_categories</vt:lpstr>
      <vt:lpstr>Option1_costs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2019-11-22T04:26:47Z</dcterms:created>
  <dcterms:modified xsi:type="dcterms:W3CDTF">2020-01-22T05:31:31Z</dcterms:modified>
</cp:coreProperties>
</file>