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33750" windowHeight="16440"/>
  </bookViews>
  <sheets>
    <sheet name="Inputs" sheetId="1" r:id="rId1"/>
    <sheet name="Base Case" sheetId="2" r:id="rId2"/>
    <sheet name="Scenario A" sheetId="8" r:id="rId3"/>
    <sheet name="Scenario B" sheetId="9" r:id="rId4"/>
    <sheet name="Scenario C" sheetId="10" r:id="rId5"/>
    <sheet name="Scenario D" sheetId="11" r:id="rId6"/>
    <sheet name="Summary" sheetId="7" r:id="rId7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6" i="11" l="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J85" i="1" l="1"/>
  <c r="T46" i="11" l="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U187" i="1"/>
  <c r="U195" i="1" s="1"/>
  <c r="T187" i="1"/>
  <c r="T196" i="1" s="1"/>
  <c r="S187" i="1"/>
  <c r="S196" i="1" s="1"/>
  <c r="R187" i="1"/>
  <c r="R196" i="1" s="1"/>
  <c r="Q187" i="1"/>
  <c r="Q195" i="1" s="1"/>
  <c r="P187" i="1"/>
  <c r="P196" i="1" s="1"/>
  <c r="O187" i="1"/>
  <c r="O196" i="1" s="1"/>
  <c r="Q194" i="1" l="1"/>
  <c r="Q196" i="1"/>
  <c r="U193" i="1"/>
  <c r="U194" i="1"/>
  <c r="U196" i="1"/>
  <c r="Q193" i="1"/>
  <c r="O193" i="1"/>
  <c r="S193" i="1"/>
  <c r="O194" i="1"/>
  <c r="S194" i="1"/>
  <c r="O195" i="1"/>
  <c r="S195" i="1"/>
  <c r="P193" i="1"/>
  <c r="T193" i="1"/>
  <c r="P194" i="1"/>
  <c r="T194" i="1"/>
  <c r="P195" i="1"/>
  <c r="T195" i="1"/>
  <c r="R193" i="1"/>
  <c r="R194" i="1"/>
  <c r="R195" i="1"/>
  <c r="M80" i="1"/>
  <c r="L82" i="1"/>
  <c r="L81" i="1"/>
  <c r="Q192" i="1" l="1"/>
  <c r="U192" i="1"/>
  <c r="O192" i="1"/>
  <c r="P192" i="1"/>
  <c r="R192" i="1"/>
  <c r="S192" i="1"/>
  <c r="T192" i="1"/>
  <c r="E88" i="8"/>
  <c r="E91" i="8" s="1"/>
  <c r="E94" i="8" s="1"/>
  <c r="E97" i="8" s="1"/>
  <c r="E89" i="8"/>
  <c r="E92" i="8" s="1"/>
  <c r="E95" i="8" s="1"/>
  <c r="E98" i="8" s="1"/>
  <c r="E90" i="8"/>
  <c r="E93" i="8" s="1"/>
  <c r="E96" i="8" s="1"/>
  <c r="E99" i="8" s="1"/>
  <c r="E88" i="9"/>
  <c r="E91" i="9" s="1"/>
  <c r="E94" i="9" s="1"/>
  <c r="E97" i="9" s="1"/>
  <c r="E89" i="9"/>
  <c r="E92" i="9" s="1"/>
  <c r="E95" i="9" s="1"/>
  <c r="E98" i="9" s="1"/>
  <c r="E90" i="9"/>
  <c r="E93" i="9" s="1"/>
  <c r="E96" i="9" s="1"/>
  <c r="E99" i="9" s="1"/>
  <c r="E88" i="10"/>
  <c r="E91" i="10" s="1"/>
  <c r="E94" i="10" s="1"/>
  <c r="E97" i="10" s="1"/>
  <c r="E89" i="10"/>
  <c r="E92" i="10" s="1"/>
  <c r="E95" i="10" s="1"/>
  <c r="E98" i="10" s="1"/>
  <c r="E90" i="10"/>
  <c r="E93" i="10" s="1"/>
  <c r="E96" i="10" s="1"/>
  <c r="E99" i="10" s="1"/>
  <c r="E88" i="11"/>
  <c r="E91" i="11" s="1"/>
  <c r="E94" i="11" s="1"/>
  <c r="E97" i="11" s="1"/>
  <c r="E89" i="11"/>
  <c r="E92" i="11" s="1"/>
  <c r="E95" i="11" s="1"/>
  <c r="E98" i="11" s="1"/>
  <c r="E90" i="11"/>
  <c r="E93" i="11" s="1"/>
  <c r="E96" i="11" s="1"/>
  <c r="E99" i="11" s="1"/>
  <c r="E88" i="2" l="1"/>
  <c r="J60" i="10" l="1"/>
  <c r="J59" i="10"/>
  <c r="I17" i="7"/>
  <c r="I15" i="7"/>
  <c r="I13" i="7"/>
  <c r="I11" i="7"/>
  <c r="D135" i="11"/>
  <c r="D123" i="11"/>
  <c r="D121" i="11"/>
  <c r="D120" i="11"/>
  <c r="D119" i="11"/>
  <c r="D116" i="11"/>
  <c r="D115" i="11"/>
  <c r="D114" i="11"/>
  <c r="C113" i="11"/>
  <c r="J107" i="11"/>
  <c r="J106" i="11"/>
  <c r="J105" i="11"/>
  <c r="J121" i="11" s="1"/>
  <c r="J126" i="11" s="1"/>
  <c r="J104" i="11"/>
  <c r="J120" i="11" s="1"/>
  <c r="J103" i="11"/>
  <c r="J119" i="11" s="1"/>
  <c r="C75" i="11"/>
  <c r="D90" i="11"/>
  <c r="B73" i="11"/>
  <c r="J71" i="11"/>
  <c r="D71" i="11"/>
  <c r="J70" i="11"/>
  <c r="J69" i="11"/>
  <c r="C68" i="11"/>
  <c r="B66" i="11"/>
  <c r="J64" i="11"/>
  <c r="J63" i="11"/>
  <c r="J62" i="11"/>
  <c r="J61" i="11"/>
  <c r="J60" i="11"/>
  <c r="J59" i="11"/>
  <c r="J58" i="11"/>
  <c r="A54" i="11"/>
  <c r="I51" i="11"/>
  <c r="I50" i="11"/>
  <c r="I49" i="11"/>
  <c r="V46" i="11"/>
  <c r="U46" i="11"/>
  <c r="I46" i="11"/>
  <c r="V45" i="11"/>
  <c r="U45" i="11"/>
  <c r="I45" i="11"/>
  <c r="I44" i="11"/>
  <c r="V43" i="11"/>
  <c r="U43" i="11"/>
  <c r="I43" i="11"/>
  <c r="I42" i="11"/>
  <c r="I41" i="11"/>
  <c r="I40" i="11"/>
  <c r="I39" i="11"/>
  <c r="I38" i="11"/>
  <c r="V37" i="11"/>
  <c r="I37" i="11"/>
  <c r="V36" i="11"/>
  <c r="U36" i="11"/>
  <c r="I36" i="11"/>
  <c r="V35" i="11"/>
  <c r="U35" i="11"/>
  <c r="I35" i="11"/>
  <c r="I34" i="11"/>
  <c r="V33" i="11"/>
  <c r="U33" i="11"/>
  <c r="I33" i="11"/>
  <c r="I32" i="11"/>
  <c r="I31" i="11"/>
  <c r="I30" i="11"/>
  <c r="I29" i="11"/>
  <c r="I28" i="11"/>
  <c r="V27" i="11"/>
  <c r="I27" i="11"/>
  <c r="V26" i="11"/>
  <c r="U26" i="11"/>
  <c r="I26" i="11"/>
  <c r="V25" i="11"/>
  <c r="U25" i="11"/>
  <c r="I25" i="11"/>
  <c r="V24" i="11"/>
  <c r="U24" i="11"/>
  <c r="I24" i="11"/>
  <c r="V23" i="11"/>
  <c r="U23" i="11"/>
  <c r="I23" i="11"/>
  <c r="I22" i="11"/>
  <c r="I21" i="11"/>
  <c r="I20" i="11"/>
  <c r="I19" i="11"/>
  <c r="I18" i="11"/>
  <c r="V17" i="11"/>
  <c r="I17" i="11"/>
  <c r="A4" i="11"/>
  <c r="A2" i="11"/>
  <c r="D135" i="10"/>
  <c r="D123" i="10"/>
  <c r="D121" i="10"/>
  <c r="D120" i="10"/>
  <c r="D119" i="10"/>
  <c r="D116" i="10"/>
  <c r="D115" i="10"/>
  <c r="D114" i="10"/>
  <c r="C113" i="10"/>
  <c r="J107" i="10"/>
  <c r="J106" i="10"/>
  <c r="J105" i="10"/>
  <c r="J121" i="10" s="1"/>
  <c r="J126" i="10" s="1"/>
  <c r="J104" i="10"/>
  <c r="J120" i="10" s="1"/>
  <c r="J103" i="10"/>
  <c r="J119" i="10" s="1"/>
  <c r="D90" i="10"/>
  <c r="C75" i="10"/>
  <c r="B73" i="10"/>
  <c r="J71" i="10"/>
  <c r="D71" i="10"/>
  <c r="J70" i="10"/>
  <c r="J69" i="10"/>
  <c r="C68" i="10"/>
  <c r="B66" i="10"/>
  <c r="J64" i="10"/>
  <c r="J63" i="10"/>
  <c r="J62" i="10"/>
  <c r="J61" i="10"/>
  <c r="J58" i="10"/>
  <c r="A54" i="10"/>
  <c r="I51" i="10"/>
  <c r="I50" i="10"/>
  <c r="I49" i="10"/>
  <c r="V46" i="10"/>
  <c r="U46" i="10"/>
  <c r="I46" i="10"/>
  <c r="V45" i="10"/>
  <c r="U45" i="10"/>
  <c r="I45" i="10"/>
  <c r="I44" i="10"/>
  <c r="V43" i="10"/>
  <c r="U43" i="10"/>
  <c r="I43" i="10"/>
  <c r="I42" i="10"/>
  <c r="I41" i="10"/>
  <c r="I40" i="10"/>
  <c r="I39" i="10"/>
  <c r="I38" i="10"/>
  <c r="V37" i="10"/>
  <c r="I37" i="10"/>
  <c r="V36" i="10"/>
  <c r="U36" i="10"/>
  <c r="I36" i="10"/>
  <c r="V35" i="10"/>
  <c r="U35" i="10"/>
  <c r="I35" i="10"/>
  <c r="I34" i="10"/>
  <c r="V33" i="10"/>
  <c r="U33" i="10"/>
  <c r="I33" i="10"/>
  <c r="I32" i="10"/>
  <c r="I31" i="10"/>
  <c r="I30" i="10"/>
  <c r="I29" i="10"/>
  <c r="I28" i="10"/>
  <c r="V27" i="10"/>
  <c r="I27" i="10"/>
  <c r="V26" i="10"/>
  <c r="U26" i="10"/>
  <c r="I26" i="10"/>
  <c r="V25" i="10"/>
  <c r="U25" i="10"/>
  <c r="I25" i="10"/>
  <c r="V24" i="10"/>
  <c r="U24" i="10"/>
  <c r="I24" i="10"/>
  <c r="V23" i="10"/>
  <c r="U23" i="10"/>
  <c r="I23" i="10"/>
  <c r="I22" i="10"/>
  <c r="I21" i="10"/>
  <c r="I20" i="10"/>
  <c r="I19" i="10"/>
  <c r="I18" i="10"/>
  <c r="V17" i="10"/>
  <c r="I17" i="10"/>
  <c r="A4" i="10"/>
  <c r="A2" i="10"/>
  <c r="D135" i="9"/>
  <c r="D123" i="9"/>
  <c r="D121" i="9"/>
  <c r="D120" i="9"/>
  <c r="D119" i="9"/>
  <c r="D116" i="9"/>
  <c r="D115" i="9"/>
  <c r="D114" i="9"/>
  <c r="C113" i="9"/>
  <c r="J107" i="9"/>
  <c r="J106" i="9"/>
  <c r="J105" i="9"/>
  <c r="J121" i="9" s="1"/>
  <c r="J126" i="9" s="1"/>
  <c r="J104" i="9"/>
  <c r="J120" i="9" s="1"/>
  <c r="J103" i="9"/>
  <c r="J119" i="9" s="1"/>
  <c r="C75" i="9"/>
  <c r="D90" i="9"/>
  <c r="B73" i="9"/>
  <c r="J71" i="9"/>
  <c r="D71" i="9"/>
  <c r="J70" i="9"/>
  <c r="J69" i="9"/>
  <c r="C68" i="9"/>
  <c r="B66" i="9"/>
  <c r="J64" i="9"/>
  <c r="J63" i="9"/>
  <c r="J62" i="9"/>
  <c r="J61" i="9"/>
  <c r="J60" i="9"/>
  <c r="J59" i="9"/>
  <c r="J58" i="9"/>
  <c r="A54" i="9"/>
  <c r="I51" i="9"/>
  <c r="I50" i="9"/>
  <c r="I49" i="9"/>
  <c r="V46" i="9"/>
  <c r="U46" i="9"/>
  <c r="I46" i="9"/>
  <c r="V45" i="9"/>
  <c r="U45" i="9"/>
  <c r="I45" i="9"/>
  <c r="I44" i="9"/>
  <c r="V43" i="9"/>
  <c r="U43" i="9"/>
  <c r="I43" i="9"/>
  <c r="I42" i="9"/>
  <c r="I41" i="9"/>
  <c r="I40" i="9"/>
  <c r="I39" i="9"/>
  <c r="I38" i="9"/>
  <c r="V37" i="9"/>
  <c r="I37" i="9"/>
  <c r="V36" i="9"/>
  <c r="U36" i="9"/>
  <c r="I36" i="9"/>
  <c r="V35" i="9"/>
  <c r="U35" i="9"/>
  <c r="I35" i="9"/>
  <c r="I34" i="9"/>
  <c r="V33" i="9"/>
  <c r="U33" i="9"/>
  <c r="I33" i="9"/>
  <c r="I32" i="9"/>
  <c r="I31" i="9"/>
  <c r="I30" i="9"/>
  <c r="I29" i="9"/>
  <c r="I28" i="9"/>
  <c r="V27" i="9"/>
  <c r="I27" i="9"/>
  <c r="V26" i="9"/>
  <c r="U26" i="9"/>
  <c r="I26" i="9"/>
  <c r="V25" i="9"/>
  <c r="U25" i="9"/>
  <c r="I25" i="9"/>
  <c r="V24" i="9"/>
  <c r="U24" i="9"/>
  <c r="I24" i="9"/>
  <c r="V23" i="9"/>
  <c r="U23" i="9"/>
  <c r="I23" i="9"/>
  <c r="I22" i="9"/>
  <c r="I21" i="9"/>
  <c r="I20" i="9"/>
  <c r="I19" i="9"/>
  <c r="I18" i="9"/>
  <c r="V17" i="9"/>
  <c r="I17" i="9"/>
  <c r="A4" i="9"/>
  <c r="A2" i="9"/>
  <c r="D135" i="8"/>
  <c r="D123" i="8"/>
  <c r="D121" i="8"/>
  <c r="D120" i="8"/>
  <c r="D119" i="8"/>
  <c r="D116" i="8"/>
  <c r="D115" i="8"/>
  <c r="D114" i="8"/>
  <c r="C113" i="8"/>
  <c r="J107" i="8"/>
  <c r="J106" i="8"/>
  <c r="J105" i="8"/>
  <c r="J121" i="8" s="1"/>
  <c r="J126" i="8" s="1"/>
  <c r="J104" i="8"/>
  <c r="J120" i="8" s="1"/>
  <c r="J103" i="8"/>
  <c r="J119" i="8" s="1"/>
  <c r="C75" i="8"/>
  <c r="D90" i="8"/>
  <c r="D87" i="8"/>
  <c r="D102" i="8" s="1"/>
  <c r="B73" i="8"/>
  <c r="J71" i="8"/>
  <c r="D71" i="8"/>
  <c r="J70" i="8"/>
  <c r="J69" i="8"/>
  <c r="C68" i="8"/>
  <c r="B66" i="8"/>
  <c r="J64" i="8"/>
  <c r="J63" i="8"/>
  <c r="J62" i="8"/>
  <c r="J61" i="8"/>
  <c r="J60" i="8"/>
  <c r="J59" i="8"/>
  <c r="J58" i="8"/>
  <c r="A54" i="8"/>
  <c r="I51" i="8"/>
  <c r="I50" i="8"/>
  <c r="I49" i="8"/>
  <c r="V46" i="8"/>
  <c r="U46" i="8"/>
  <c r="I46" i="8"/>
  <c r="V45" i="8"/>
  <c r="U45" i="8"/>
  <c r="I45" i="8"/>
  <c r="I44" i="8"/>
  <c r="V43" i="8"/>
  <c r="U43" i="8"/>
  <c r="I43" i="8"/>
  <c r="I42" i="8"/>
  <c r="I41" i="8"/>
  <c r="I40" i="8"/>
  <c r="I39" i="8"/>
  <c r="I38" i="8"/>
  <c r="V37" i="8"/>
  <c r="I37" i="8"/>
  <c r="V36" i="8"/>
  <c r="U36" i="8"/>
  <c r="I36" i="8"/>
  <c r="V35" i="8"/>
  <c r="U35" i="8"/>
  <c r="I35" i="8"/>
  <c r="I34" i="8"/>
  <c r="V33" i="8"/>
  <c r="U33" i="8"/>
  <c r="I33" i="8"/>
  <c r="I32" i="8"/>
  <c r="I31" i="8"/>
  <c r="I30" i="8"/>
  <c r="I29" i="8"/>
  <c r="I28" i="8"/>
  <c r="V27" i="8"/>
  <c r="I27" i="8"/>
  <c r="V26" i="8"/>
  <c r="U26" i="8"/>
  <c r="I26" i="8"/>
  <c r="V25" i="8"/>
  <c r="U25" i="8"/>
  <c r="I25" i="8"/>
  <c r="V24" i="8"/>
  <c r="U24" i="8"/>
  <c r="I24" i="8"/>
  <c r="V23" i="8"/>
  <c r="U23" i="8"/>
  <c r="I23" i="8"/>
  <c r="I22" i="8"/>
  <c r="I21" i="8"/>
  <c r="I20" i="8"/>
  <c r="I19" i="8"/>
  <c r="I18" i="8"/>
  <c r="V17" i="8"/>
  <c r="I17" i="8"/>
  <c r="A4" i="8"/>
  <c r="A2" i="8"/>
  <c r="D93" i="9" l="1"/>
  <c r="D105" i="9" s="1"/>
  <c r="D93" i="11"/>
  <c r="D105" i="11" s="1"/>
  <c r="D96" i="11"/>
  <c r="D106" i="11" s="1"/>
  <c r="D96" i="9"/>
  <c r="D106" i="9" s="1"/>
  <c r="D93" i="10"/>
  <c r="D105" i="10" s="1"/>
  <c r="D87" i="11"/>
  <c r="D102" i="11" s="1"/>
  <c r="D99" i="11"/>
  <c r="D107" i="11" s="1"/>
  <c r="D87" i="9"/>
  <c r="D102" i="9" s="1"/>
  <c r="D99" i="9"/>
  <c r="D107" i="9" s="1"/>
  <c r="D96" i="10"/>
  <c r="D106" i="10" s="1"/>
  <c r="D87" i="10"/>
  <c r="D102" i="10" s="1"/>
  <c r="D99" i="10"/>
  <c r="D107" i="10" s="1"/>
  <c r="D96" i="8"/>
  <c r="D106" i="8" s="1"/>
  <c r="D99" i="8"/>
  <c r="D107" i="8" s="1"/>
  <c r="D93" i="8"/>
  <c r="D105" i="8" s="1"/>
  <c r="D104" i="11"/>
  <c r="D103" i="11"/>
  <c r="P51" i="11"/>
  <c r="J122" i="11"/>
  <c r="J124" i="11"/>
  <c r="J125" i="11"/>
  <c r="J123" i="11"/>
  <c r="P51" i="10"/>
  <c r="D104" i="10"/>
  <c r="D103" i="10"/>
  <c r="J125" i="10"/>
  <c r="J123" i="10"/>
  <c r="J122" i="10"/>
  <c r="J124" i="10"/>
  <c r="D104" i="9"/>
  <c r="D103" i="9"/>
  <c r="P51" i="9"/>
  <c r="J122" i="9"/>
  <c r="J124" i="9"/>
  <c r="J125" i="9"/>
  <c r="J123" i="9"/>
  <c r="P51" i="8"/>
  <c r="D104" i="8"/>
  <c r="D103" i="8"/>
  <c r="J122" i="8"/>
  <c r="J124" i="8"/>
  <c r="J125" i="8"/>
  <c r="J123" i="8"/>
  <c r="D123" i="2"/>
  <c r="V22" i="11" l="1"/>
  <c r="U22" i="11"/>
  <c r="U22" i="10"/>
  <c r="V22" i="10"/>
  <c r="U22" i="9"/>
  <c r="V22" i="9"/>
  <c r="V22" i="8"/>
  <c r="U22" i="8"/>
  <c r="I18" i="7"/>
  <c r="I16" i="7"/>
  <c r="I14" i="7"/>
  <c r="I12" i="7"/>
  <c r="I9" i="7"/>
  <c r="D135" i="2"/>
  <c r="D116" i="2"/>
  <c r="D115" i="2"/>
  <c r="D114" i="2"/>
  <c r="C113" i="2"/>
  <c r="J107" i="2"/>
  <c r="J106" i="2"/>
  <c r="J105" i="2"/>
  <c r="J121" i="2" s="1"/>
  <c r="J126" i="2" s="1"/>
  <c r="J104" i="2"/>
  <c r="J103" i="2"/>
  <c r="J119" i="2" s="1"/>
  <c r="C75" i="2"/>
  <c r="B73" i="2"/>
  <c r="J71" i="2"/>
  <c r="D71" i="2"/>
  <c r="J70" i="2"/>
  <c r="J69" i="2"/>
  <c r="C68" i="2"/>
  <c r="B66" i="2"/>
  <c r="J64" i="2"/>
  <c r="J63" i="2"/>
  <c r="J62" i="2"/>
  <c r="J61" i="2"/>
  <c r="J60" i="2"/>
  <c r="J59" i="2"/>
  <c r="J58" i="2"/>
  <c r="I51" i="2"/>
  <c r="I50" i="2"/>
  <c r="I49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D12" i="7"/>
  <c r="D14" i="7" s="1"/>
  <c r="D16" i="7" s="1"/>
  <c r="D18" i="7" s="1"/>
  <c r="D11" i="7"/>
  <c r="D13" i="7" s="1"/>
  <c r="D15" i="7" s="1"/>
  <c r="D17" i="7" s="1"/>
  <c r="I10" i="7"/>
  <c r="A2" i="7"/>
  <c r="D121" i="2"/>
  <c r="D120" i="2"/>
  <c r="D119" i="2"/>
  <c r="J120" i="2"/>
  <c r="E91" i="2"/>
  <c r="E94" i="2" s="1"/>
  <c r="E97" i="2" s="1"/>
  <c r="E90" i="2"/>
  <c r="E93" i="2" s="1"/>
  <c r="E96" i="2" s="1"/>
  <c r="E99" i="2" s="1"/>
  <c r="E89" i="2"/>
  <c r="E92" i="2" s="1"/>
  <c r="E95" i="2" s="1"/>
  <c r="E98" i="2" s="1"/>
  <c r="D99" i="2"/>
  <c r="D107" i="2" s="1"/>
  <c r="D96" i="2"/>
  <c r="D106" i="2" s="1"/>
  <c r="D93" i="2"/>
  <c r="D105" i="2" s="1"/>
  <c r="D90" i="2"/>
  <c r="D104" i="2" s="1"/>
  <c r="D87" i="2"/>
  <c r="D102" i="2" s="1"/>
  <c r="A54" i="2"/>
  <c r="V46" i="2"/>
  <c r="U46" i="2"/>
  <c r="V45" i="2"/>
  <c r="U45" i="2"/>
  <c r="V43" i="2"/>
  <c r="U43" i="2"/>
  <c r="V37" i="2"/>
  <c r="V36" i="2"/>
  <c r="U36" i="2"/>
  <c r="V35" i="2"/>
  <c r="U35" i="2"/>
  <c r="V33" i="2"/>
  <c r="U33" i="2"/>
  <c r="V27" i="2"/>
  <c r="V26" i="2"/>
  <c r="U26" i="2"/>
  <c r="V25" i="2"/>
  <c r="U25" i="2"/>
  <c r="V24" i="2"/>
  <c r="U24" i="2"/>
  <c r="V23" i="2"/>
  <c r="U23" i="2"/>
  <c r="V17" i="2"/>
  <c r="A4" i="2"/>
  <c r="A2" i="2"/>
  <c r="D186" i="1"/>
  <c r="V187" i="1"/>
  <c r="D185" i="1"/>
  <c r="D175" i="1"/>
  <c r="D174" i="1"/>
  <c r="D173" i="1"/>
  <c r="J117" i="1"/>
  <c r="K99" i="1"/>
  <c r="K125" i="1" s="1"/>
  <c r="K148" i="1" s="1"/>
  <c r="K172" i="1" s="1"/>
  <c r="J99" i="1"/>
  <c r="J125" i="1" s="1"/>
  <c r="J148" i="1" s="1"/>
  <c r="J172" i="1" s="1"/>
  <c r="J75" i="1"/>
  <c r="D57" i="1"/>
  <c r="D56" i="1"/>
  <c r="D55" i="1"/>
  <c r="D54" i="1"/>
  <c r="D53" i="1"/>
  <c r="O44" i="1"/>
  <c r="N44" i="1"/>
  <c r="M44" i="1"/>
  <c r="L44" i="1"/>
  <c r="K44" i="1"/>
  <c r="J44" i="1"/>
  <c r="O43" i="1"/>
  <c r="O52" i="1" s="1"/>
  <c r="N43" i="1"/>
  <c r="N52" i="1" s="1"/>
  <c r="M43" i="1"/>
  <c r="M52" i="1" s="1"/>
  <c r="D12" i="2" s="1"/>
  <c r="L43" i="1"/>
  <c r="L52" i="1" s="1"/>
  <c r="K43" i="1"/>
  <c r="K52" i="1" s="1"/>
  <c r="J43" i="1"/>
  <c r="J52" i="1" s="1"/>
  <c r="D9" i="2" s="1"/>
  <c r="I9" i="2" s="1"/>
  <c r="C26" i="1"/>
  <c r="J21" i="1"/>
  <c r="C21" i="1"/>
  <c r="P16" i="1"/>
  <c r="O2" i="1"/>
  <c r="A2" i="1"/>
  <c r="A1" i="1"/>
  <c r="I12" i="2" l="1"/>
  <c r="V71" i="2" s="1"/>
  <c r="Q71" i="2"/>
  <c r="T71" i="2"/>
  <c r="O71" i="2"/>
  <c r="U71" i="2"/>
  <c r="D13" i="9"/>
  <c r="D13" i="10"/>
  <c r="D13" i="11"/>
  <c r="D13" i="8"/>
  <c r="D10" i="10"/>
  <c r="D10" i="11"/>
  <c r="D10" i="8"/>
  <c r="D10" i="9"/>
  <c r="D14" i="11"/>
  <c r="D14" i="10"/>
  <c r="D14" i="9"/>
  <c r="D14" i="8"/>
  <c r="D11" i="11"/>
  <c r="D11" i="9"/>
  <c r="D11" i="8"/>
  <c r="D11" i="10"/>
  <c r="V196" i="1"/>
  <c r="V195" i="1"/>
  <c r="V194" i="1"/>
  <c r="V193" i="1"/>
  <c r="V192" i="1"/>
  <c r="P2" i="1"/>
  <c r="O2" i="9"/>
  <c r="O146" i="9" s="1"/>
  <c r="O2" i="8"/>
  <c r="O146" i="8" s="1"/>
  <c r="O2" i="10"/>
  <c r="O146" i="10" s="1"/>
  <c r="O2" i="11"/>
  <c r="O146" i="11" s="1"/>
  <c r="O2" i="7"/>
  <c r="O8" i="7" s="1"/>
  <c r="O2" i="2"/>
  <c r="O146" i="2" s="1"/>
  <c r="D12" i="9"/>
  <c r="D12" i="8"/>
  <c r="D12" i="10"/>
  <c r="D12" i="11"/>
  <c r="D70" i="9"/>
  <c r="D70" i="8"/>
  <c r="D70" i="11"/>
  <c r="D70" i="10"/>
  <c r="D13" i="2"/>
  <c r="I13" i="2" s="1"/>
  <c r="D10" i="2"/>
  <c r="I10" i="2" s="1"/>
  <c r="D14" i="2"/>
  <c r="I14" i="2" s="1"/>
  <c r="D70" i="2"/>
  <c r="D9" i="9"/>
  <c r="D9" i="10"/>
  <c r="D9" i="8"/>
  <c r="D9" i="11"/>
  <c r="K75" i="1"/>
  <c r="M75" i="1"/>
  <c r="D69" i="11"/>
  <c r="D69" i="10"/>
  <c r="D69" i="8"/>
  <c r="D69" i="9"/>
  <c r="D69" i="2"/>
  <c r="D11" i="2"/>
  <c r="I11" i="2" s="1"/>
  <c r="L168" i="1"/>
  <c r="A1" i="2"/>
  <c r="A1" i="9"/>
  <c r="A1" i="10"/>
  <c r="A1" i="11"/>
  <c r="A1" i="8"/>
  <c r="J124" i="2"/>
  <c r="J122" i="2"/>
  <c r="J125" i="2"/>
  <c r="J123" i="2"/>
  <c r="A1" i="7"/>
  <c r="M74" i="1"/>
  <c r="M73" i="1"/>
  <c r="Z116" i="2"/>
  <c r="V116" i="2"/>
  <c r="R116" i="2"/>
  <c r="W115" i="2"/>
  <c r="S115" i="2"/>
  <c r="O115" i="2"/>
  <c r="X114" i="2"/>
  <c r="T114" i="2"/>
  <c r="P114" i="2"/>
  <c r="Y116" i="2"/>
  <c r="U116" i="2"/>
  <c r="Q116" i="2"/>
  <c r="Z115" i="2"/>
  <c r="V115" i="2"/>
  <c r="R115" i="2"/>
  <c r="W114" i="2"/>
  <c r="S114" i="2"/>
  <c r="O114" i="2"/>
  <c r="T116" i="2"/>
  <c r="T115" i="2"/>
  <c r="Z114" i="2"/>
  <c r="R114" i="2"/>
  <c r="S116" i="2"/>
  <c r="Y115" i="2"/>
  <c r="Q115" i="2"/>
  <c r="Y114" i="2"/>
  <c r="Q114" i="2"/>
  <c r="X116" i="2"/>
  <c r="P116" i="2"/>
  <c r="X115" i="2"/>
  <c r="P115" i="2"/>
  <c r="V114" i="2"/>
  <c r="W116" i="2"/>
  <c r="O116" i="2"/>
  <c r="U115" i="2"/>
  <c r="U114" i="2"/>
  <c r="P69" i="2"/>
  <c r="T69" i="2"/>
  <c r="R70" i="2"/>
  <c r="V70" i="2"/>
  <c r="Q69" i="2"/>
  <c r="U69" i="2"/>
  <c r="O70" i="2"/>
  <c r="S70" i="2"/>
  <c r="R69" i="2"/>
  <c r="V69" i="2"/>
  <c r="P70" i="2"/>
  <c r="T70" i="2"/>
  <c r="O69" i="2"/>
  <c r="S69" i="2"/>
  <c r="W69" i="2"/>
  <c r="Q70" i="2"/>
  <c r="U70" i="2"/>
  <c r="D103" i="2"/>
  <c r="K57" i="1"/>
  <c r="K54" i="1"/>
  <c r="K55" i="1"/>
  <c r="K56" i="1"/>
  <c r="M55" i="1"/>
  <c r="M56" i="1"/>
  <c r="M57" i="1"/>
  <c r="M54" i="1"/>
  <c r="J56" i="1"/>
  <c r="J57" i="1"/>
  <c r="J54" i="1"/>
  <c r="J55" i="1"/>
  <c r="O57" i="1"/>
  <c r="O54" i="1"/>
  <c r="O55" i="1"/>
  <c r="O56" i="1"/>
  <c r="N56" i="1"/>
  <c r="N57" i="1"/>
  <c r="N54" i="1"/>
  <c r="N55" i="1"/>
  <c r="L54" i="1"/>
  <c r="L55" i="1"/>
  <c r="L56" i="1"/>
  <c r="L57" i="1"/>
  <c r="L169" i="1"/>
  <c r="M71" i="1"/>
  <c r="Q16" i="1"/>
  <c r="M72" i="1"/>
  <c r="L170" i="1"/>
  <c r="S71" i="2" l="1"/>
  <c r="R71" i="2"/>
  <c r="P71" i="2"/>
  <c r="P77" i="2" s="1"/>
  <c r="S77" i="2"/>
  <c r="S78" i="2"/>
  <c r="S76" i="2"/>
  <c r="S79" i="2"/>
  <c r="S80" i="2"/>
  <c r="R80" i="2"/>
  <c r="R76" i="2"/>
  <c r="R77" i="2"/>
  <c r="R79" i="2"/>
  <c r="R78" i="2"/>
  <c r="Q79" i="2"/>
  <c r="Q76" i="2"/>
  <c r="Q80" i="2"/>
  <c r="Q77" i="2"/>
  <c r="Q78" i="2"/>
  <c r="P78" i="2"/>
  <c r="P79" i="2"/>
  <c r="P80" i="2"/>
  <c r="V80" i="2"/>
  <c r="V76" i="2"/>
  <c r="V77" i="2"/>
  <c r="V79" i="2"/>
  <c r="V78" i="2"/>
  <c r="O79" i="2"/>
  <c r="O78" i="2"/>
  <c r="O76" i="2"/>
  <c r="O80" i="2"/>
  <c r="O77" i="2"/>
  <c r="U79" i="2"/>
  <c r="U80" i="2"/>
  <c r="U76" i="2"/>
  <c r="U78" i="2"/>
  <c r="U77" i="2"/>
  <c r="T78" i="2"/>
  <c r="T79" i="2"/>
  <c r="T77" i="2"/>
  <c r="T76" i="2"/>
  <c r="T80" i="2"/>
  <c r="Q103" i="2"/>
  <c r="T103" i="2"/>
  <c r="O103" i="2"/>
  <c r="S91" i="2"/>
  <c r="U103" i="2"/>
  <c r="I9" i="11"/>
  <c r="I12" i="11"/>
  <c r="W69" i="11" s="1"/>
  <c r="I11" i="10"/>
  <c r="I14" i="8"/>
  <c r="I10" i="9"/>
  <c r="I13" i="8"/>
  <c r="J177" i="1"/>
  <c r="J178" i="1" s="1"/>
  <c r="R103" i="2"/>
  <c r="P103" i="2"/>
  <c r="I9" i="8"/>
  <c r="I12" i="10"/>
  <c r="W69" i="10" s="1"/>
  <c r="I11" i="8"/>
  <c r="I14" i="9"/>
  <c r="I10" i="8"/>
  <c r="I13" i="11"/>
  <c r="I9" i="10"/>
  <c r="I12" i="8"/>
  <c r="Q2" i="1"/>
  <c r="P2" i="9"/>
  <c r="P146" i="9" s="1"/>
  <c r="P2" i="10"/>
  <c r="P146" i="10" s="1"/>
  <c r="P2" i="8"/>
  <c r="P146" i="8" s="1"/>
  <c r="P2" i="11"/>
  <c r="P146" i="11" s="1"/>
  <c r="P2" i="7"/>
  <c r="P8" i="7" s="1"/>
  <c r="P2" i="2"/>
  <c r="P146" i="2" s="1"/>
  <c r="I11" i="9"/>
  <c r="I14" i="10"/>
  <c r="I10" i="11"/>
  <c r="I13" i="10"/>
  <c r="S103" i="2"/>
  <c r="V103" i="2"/>
  <c r="I9" i="9"/>
  <c r="I12" i="9"/>
  <c r="X69" i="9" s="1"/>
  <c r="I11" i="11"/>
  <c r="I14" i="11"/>
  <c r="I10" i="10"/>
  <c r="I13" i="9"/>
  <c r="W187" i="1"/>
  <c r="W71" i="2" s="1"/>
  <c r="X187" i="1"/>
  <c r="X71" i="2" s="1"/>
  <c r="W70" i="10"/>
  <c r="X69" i="8"/>
  <c r="X69" i="11"/>
  <c r="X69" i="10"/>
  <c r="W70" i="2"/>
  <c r="X69" i="2"/>
  <c r="P51" i="2"/>
  <c r="L75" i="1"/>
  <c r="K177" i="1"/>
  <c r="K178" i="1" s="1"/>
  <c r="R16" i="1"/>
  <c r="P76" i="2" l="1"/>
  <c r="W69" i="9"/>
  <c r="W70" i="9"/>
  <c r="X103" i="2"/>
  <c r="X78" i="2"/>
  <c r="X79" i="2"/>
  <c r="X77" i="2"/>
  <c r="X80" i="2"/>
  <c r="X76" i="2"/>
  <c r="W103" i="2"/>
  <c r="W77" i="2"/>
  <c r="W88" i="2" s="1"/>
  <c r="W89" i="2" s="1"/>
  <c r="W90" i="2" s="1"/>
  <c r="W78" i="2"/>
  <c r="W91" i="2" s="1"/>
  <c r="W80" i="2"/>
  <c r="W79" i="2"/>
  <c r="W94" i="2" s="1"/>
  <c r="W95" i="2" s="1"/>
  <c r="W96" i="2" s="1"/>
  <c r="W76" i="2"/>
  <c r="W85" i="2" s="1"/>
  <c r="P38" i="11"/>
  <c r="P49" i="11" s="1"/>
  <c r="P38" i="10"/>
  <c r="P49" i="10" s="1"/>
  <c r="P38" i="8"/>
  <c r="P49" i="8" s="1"/>
  <c r="P38" i="2"/>
  <c r="P49" i="2" s="1"/>
  <c r="P38" i="9"/>
  <c r="P49" i="9" s="1"/>
  <c r="P28" i="11"/>
  <c r="P50" i="11" s="1"/>
  <c r="P28" i="9"/>
  <c r="P50" i="9" s="1"/>
  <c r="P28" i="2"/>
  <c r="P28" i="10"/>
  <c r="P50" i="10" s="1"/>
  <c r="P28" i="8"/>
  <c r="P50" i="8" s="1"/>
  <c r="V71" i="11"/>
  <c r="T71" i="11"/>
  <c r="P71" i="11"/>
  <c r="X71" i="11"/>
  <c r="W71" i="11"/>
  <c r="S71" i="11"/>
  <c r="O71" i="11"/>
  <c r="O103" i="11" s="1"/>
  <c r="R71" i="11"/>
  <c r="U71" i="11"/>
  <c r="Q71" i="11"/>
  <c r="W70" i="11"/>
  <c r="R71" i="10"/>
  <c r="U71" i="10"/>
  <c r="Q71" i="10"/>
  <c r="X71" i="10"/>
  <c r="T71" i="10"/>
  <c r="P71" i="10"/>
  <c r="W71" i="10"/>
  <c r="W103" i="10" s="1"/>
  <c r="S71" i="10"/>
  <c r="O71" i="10"/>
  <c r="V71" i="10"/>
  <c r="V71" i="9"/>
  <c r="R71" i="9"/>
  <c r="X71" i="9"/>
  <c r="T71" i="9"/>
  <c r="P71" i="9"/>
  <c r="P103" i="9" s="1"/>
  <c r="W71" i="9"/>
  <c r="S71" i="9"/>
  <c r="O71" i="9"/>
  <c r="U71" i="9"/>
  <c r="Q71" i="9"/>
  <c r="V71" i="8"/>
  <c r="R71" i="8"/>
  <c r="U71" i="8"/>
  <c r="Q71" i="8"/>
  <c r="X71" i="8"/>
  <c r="T71" i="8"/>
  <c r="P71" i="8"/>
  <c r="W71" i="8"/>
  <c r="S71" i="8"/>
  <c r="O71" i="8"/>
  <c r="W70" i="8"/>
  <c r="W69" i="8"/>
  <c r="Z116" i="9"/>
  <c r="S115" i="9"/>
  <c r="S116" i="9"/>
  <c r="P115" i="9"/>
  <c r="X116" i="9"/>
  <c r="O114" i="9"/>
  <c r="S114" i="9"/>
  <c r="W114" i="9"/>
  <c r="Y115" i="9"/>
  <c r="V116" i="9"/>
  <c r="O115" i="9"/>
  <c r="O116" i="9"/>
  <c r="Y114" i="9"/>
  <c r="P116" i="9"/>
  <c r="U116" i="9"/>
  <c r="T116" i="9"/>
  <c r="R114" i="9"/>
  <c r="Q115" i="9"/>
  <c r="R116" i="9"/>
  <c r="X114" i="9"/>
  <c r="X115" i="9"/>
  <c r="U114" i="9"/>
  <c r="V115" i="9"/>
  <c r="U115" i="9"/>
  <c r="Z115" i="9"/>
  <c r="Y116" i="9"/>
  <c r="V114" i="9"/>
  <c r="W115" i="9"/>
  <c r="W116" i="9"/>
  <c r="T115" i="9"/>
  <c r="Q114" i="9"/>
  <c r="T114" i="9"/>
  <c r="Z114" i="9"/>
  <c r="R115" i="9"/>
  <c r="Q116" i="9"/>
  <c r="P114" i="9"/>
  <c r="W115" i="10"/>
  <c r="T114" i="10"/>
  <c r="Q116" i="10"/>
  <c r="W114" i="10"/>
  <c r="T116" i="10"/>
  <c r="Q115" i="10"/>
  <c r="W116" i="10"/>
  <c r="T115" i="10"/>
  <c r="Q114" i="10"/>
  <c r="Z116" i="10"/>
  <c r="S115" i="10"/>
  <c r="P114" i="10"/>
  <c r="Z115" i="10"/>
  <c r="S114" i="10"/>
  <c r="P116" i="10"/>
  <c r="Z114" i="10"/>
  <c r="S116" i="10"/>
  <c r="P115" i="10"/>
  <c r="V116" i="10"/>
  <c r="O115" i="10"/>
  <c r="Y116" i="10"/>
  <c r="V115" i="10"/>
  <c r="O114" i="10"/>
  <c r="Y115" i="10"/>
  <c r="V114" i="10"/>
  <c r="O116" i="10"/>
  <c r="Y114" i="10"/>
  <c r="R116" i="10"/>
  <c r="X114" i="10"/>
  <c r="U116" i="10"/>
  <c r="R115" i="10"/>
  <c r="X116" i="10"/>
  <c r="U115" i="10"/>
  <c r="R114" i="10"/>
  <c r="X115" i="10"/>
  <c r="U114" i="10"/>
  <c r="S103" i="10"/>
  <c r="R103" i="10"/>
  <c r="X103" i="10"/>
  <c r="R116" i="11"/>
  <c r="X114" i="11"/>
  <c r="X116" i="11"/>
  <c r="O116" i="11"/>
  <c r="Y114" i="11"/>
  <c r="Z114" i="11"/>
  <c r="R115" i="11"/>
  <c r="Y115" i="11"/>
  <c r="V115" i="11"/>
  <c r="W115" i="11"/>
  <c r="T114" i="11"/>
  <c r="T116" i="11"/>
  <c r="X115" i="11"/>
  <c r="U114" i="11"/>
  <c r="R114" i="11"/>
  <c r="W114" i="11"/>
  <c r="Q115" i="11"/>
  <c r="S114" i="11"/>
  <c r="Z116" i="11"/>
  <c r="S115" i="11"/>
  <c r="P114" i="11"/>
  <c r="W116" i="11"/>
  <c r="T115" i="11"/>
  <c r="Q114" i="11"/>
  <c r="U116" i="11"/>
  <c r="O114" i="11"/>
  <c r="V114" i="11"/>
  <c r="V116" i="11"/>
  <c r="O115" i="11"/>
  <c r="Y116" i="11"/>
  <c r="S116" i="11"/>
  <c r="P115" i="11"/>
  <c r="U115" i="11"/>
  <c r="Z115" i="11"/>
  <c r="Q116" i="11"/>
  <c r="P116" i="11"/>
  <c r="V103" i="10"/>
  <c r="Q103" i="10"/>
  <c r="P70" i="10"/>
  <c r="O69" i="10"/>
  <c r="U69" i="10"/>
  <c r="Q69" i="10"/>
  <c r="U70" i="10"/>
  <c r="R70" i="10"/>
  <c r="S70" i="10"/>
  <c r="O70" i="10"/>
  <c r="Q70" i="10"/>
  <c r="T69" i="10"/>
  <c r="T70" i="10"/>
  <c r="R69" i="10"/>
  <c r="S69" i="10"/>
  <c r="P69" i="10"/>
  <c r="V69" i="10"/>
  <c r="V70" i="10"/>
  <c r="W196" i="1"/>
  <c r="W195" i="1"/>
  <c r="W194" i="1"/>
  <c r="W193" i="1"/>
  <c r="W192" i="1"/>
  <c r="R2" i="1"/>
  <c r="Q2" i="10"/>
  <c r="Q146" i="10" s="1"/>
  <c r="Q2" i="11"/>
  <c r="Q146" i="11" s="1"/>
  <c r="Q2" i="8"/>
  <c r="Q146" i="8" s="1"/>
  <c r="Q2" i="9"/>
  <c r="Q146" i="9" s="1"/>
  <c r="Q2" i="7"/>
  <c r="Q8" i="7" s="1"/>
  <c r="Q2" i="2"/>
  <c r="Q146" i="2" s="1"/>
  <c r="W115" i="8"/>
  <c r="T114" i="8"/>
  <c r="O116" i="8"/>
  <c r="Y114" i="8"/>
  <c r="U115" i="8"/>
  <c r="Z115" i="8"/>
  <c r="Y116" i="8"/>
  <c r="V114" i="8"/>
  <c r="S114" i="8"/>
  <c r="S115" i="8"/>
  <c r="X115" i="8"/>
  <c r="Z114" i="8"/>
  <c r="Q116" i="8"/>
  <c r="V116" i="8"/>
  <c r="O115" i="8"/>
  <c r="W116" i="8"/>
  <c r="T115" i="8"/>
  <c r="Q114" i="8"/>
  <c r="R114" i="8"/>
  <c r="W114" i="8"/>
  <c r="Y115" i="8"/>
  <c r="P116" i="8"/>
  <c r="Z116" i="8"/>
  <c r="P114" i="8"/>
  <c r="U114" i="8"/>
  <c r="R115" i="8"/>
  <c r="R116" i="8"/>
  <c r="X114" i="8"/>
  <c r="S116" i="8"/>
  <c r="P115" i="8"/>
  <c r="U116" i="8"/>
  <c r="T116" i="8"/>
  <c r="O114" i="8"/>
  <c r="Q115" i="8"/>
  <c r="V115" i="8"/>
  <c r="X116" i="8"/>
  <c r="X196" i="1"/>
  <c r="X195" i="1"/>
  <c r="X194" i="1"/>
  <c r="X193" i="1"/>
  <c r="X192" i="1"/>
  <c r="Q70" i="9"/>
  <c r="U69" i="9"/>
  <c r="S69" i="9"/>
  <c r="Q69" i="9"/>
  <c r="P69" i="9"/>
  <c r="O69" i="9"/>
  <c r="R70" i="9"/>
  <c r="U70" i="9"/>
  <c r="T70" i="9"/>
  <c r="S70" i="9"/>
  <c r="T69" i="9"/>
  <c r="P70" i="9"/>
  <c r="O70" i="9"/>
  <c r="R69" i="9"/>
  <c r="V70" i="9"/>
  <c r="V69" i="9"/>
  <c r="Q69" i="8"/>
  <c r="Q70" i="8"/>
  <c r="P70" i="8"/>
  <c r="P69" i="8"/>
  <c r="S70" i="8"/>
  <c r="S69" i="8"/>
  <c r="U69" i="8"/>
  <c r="O69" i="8"/>
  <c r="R70" i="8"/>
  <c r="O70" i="8"/>
  <c r="R69" i="8"/>
  <c r="U70" i="8"/>
  <c r="T70" i="8"/>
  <c r="T69" i="8"/>
  <c r="V69" i="8"/>
  <c r="V70" i="8"/>
  <c r="O103" i="10"/>
  <c r="W103" i="9"/>
  <c r="V103" i="9"/>
  <c r="O70" i="11"/>
  <c r="R69" i="11"/>
  <c r="S69" i="11"/>
  <c r="T69" i="11"/>
  <c r="S70" i="11"/>
  <c r="P70" i="11"/>
  <c r="Q70" i="11"/>
  <c r="R70" i="11"/>
  <c r="Q69" i="11"/>
  <c r="T70" i="11"/>
  <c r="U70" i="11"/>
  <c r="U69" i="11"/>
  <c r="O69" i="11"/>
  <c r="P69" i="11"/>
  <c r="V69" i="11"/>
  <c r="V70" i="11"/>
  <c r="S97" i="2"/>
  <c r="S98" i="2" s="1"/>
  <c r="S99" i="2" s="1"/>
  <c r="S119" i="2"/>
  <c r="U18" i="8"/>
  <c r="V18" i="8"/>
  <c r="U18" i="10"/>
  <c r="V18" i="10"/>
  <c r="U38" i="10"/>
  <c r="V38" i="10"/>
  <c r="V18" i="11"/>
  <c r="U18" i="11"/>
  <c r="V38" i="11"/>
  <c r="V18" i="9"/>
  <c r="U18" i="9"/>
  <c r="U38" i="9"/>
  <c r="S88" i="2"/>
  <c r="S89" i="2" s="1"/>
  <c r="S90" i="2" s="1"/>
  <c r="S92" i="2"/>
  <c r="S93" i="2" s="1"/>
  <c r="S94" i="2"/>
  <c r="X70" i="10"/>
  <c r="X70" i="11"/>
  <c r="X70" i="9"/>
  <c r="X70" i="8"/>
  <c r="X70" i="2"/>
  <c r="Y187" i="1"/>
  <c r="Y71" i="2" s="1"/>
  <c r="S85" i="2"/>
  <c r="Y69" i="9"/>
  <c r="Y69" i="8"/>
  <c r="Y69" i="11"/>
  <c r="Y69" i="10"/>
  <c r="V88" i="2"/>
  <c r="P88" i="2"/>
  <c r="V85" i="2"/>
  <c r="V94" i="2"/>
  <c r="Y69" i="2"/>
  <c r="V18" i="2"/>
  <c r="U18" i="2"/>
  <c r="R85" i="2"/>
  <c r="P94" i="2"/>
  <c r="U94" i="2"/>
  <c r="U95" i="2" s="1"/>
  <c r="U96" i="2" s="1"/>
  <c r="O85" i="2"/>
  <c r="O86" i="2" s="1"/>
  <c r="O87" i="2" s="1"/>
  <c r="T94" i="2"/>
  <c r="U85" i="2"/>
  <c r="T85" i="2"/>
  <c r="T86" i="2" s="1"/>
  <c r="T87" i="2" s="1"/>
  <c r="V91" i="2"/>
  <c r="T88" i="2"/>
  <c r="R88" i="2"/>
  <c r="U88" i="2"/>
  <c r="U89" i="2" s="1"/>
  <c r="U90" i="2" s="1"/>
  <c r="O88" i="2"/>
  <c r="T91" i="2"/>
  <c r="T92" i="2" s="1"/>
  <c r="T93" i="2" s="1"/>
  <c r="R94" i="2"/>
  <c r="P91" i="2"/>
  <c r="P92" i="2" s="1"/>
  <c r="P93" i="2" s="1"/>
  <c r="U91" i="2"/>
  <c r="Q91" i="2"/>
  <c r="O94" i="2"/>
  <c r="Q94" i="2"/>
  <c r="R91" i="2"/>
  <c r="P85" i="2"/>
  <c r="P86" i="2" s="1"/>
  <c r="P87" i="2" s="1"/>
  <c r="Q85" i="2"/>
  <c r="Q88" i="2"/>
  <c r="S16" i="1"/>
  <c r="V38" i="9" l="1"/>
  <c r="U38" i="11"/>
  <c r="O103" i="8"/>
  <c r="O79" i="8"/>
  <c r="O77" i="8"/>
  <c r="O88" i="8" s="1"/>
  <c r="O89" i="8" s="1"/>
  <c r="O90" i="8" s="1"/>
  <c r="O104" i="8" s="1"/>
  <c r="O78" i="8"/>
  <c r="O76" i="8"/>
  <c r="O80" i="8"/>
  <c r="T103" i="8"/>
  <c r="T79" i="8"/>
  <c r="T77" i="8"/>
  <c r="T80" i="8"/>
  <c r="T76" i="8"/>
  <c r="T78" i="8"/>
  <c r="R103" i="8"/>
  <c r="R80" i="8"/>
  <c r="R79" i="8"/>
  <c r="R94" i="8" s="1"/>
  <c r="R95" i="8" s="1"/>
  <c r="R96" i="8" s="1"/>
  <c r="R106" i="8" s="1"/>
  <c r="R78" i="8"/>
  <c r="R91" i="8" s="1"/>
  <c r="R92" i="8" s="1"/>
  <c r="R93" i="8" s="1"/>
  <c r="R77" i="8"/>
  <c r="R76" i="8"/>
  <c r="O103" i="9"/>
  <c r="O80" i="9"/>
  <c r="O78" i="9"/>
  <c r="O76" i="9"/>
  <c r="O79" i="9"/>
  <c r="O77" i="9"/>
  <c r="T80" i="9"/>
  <c r="T78" i="9"/>
  <c r="T91" i="9" s="1"/>
  <c r="T92" i="9" s="1"/>
  <c r="T93" i="9" s="1"/>
  <c r="T105" i="9" s="1"/>
  <c r="T76" i="9"/>
  <c r="T79" i="9"/>
  <c r="T77" i="9"/>
  <c r="V80" i="10"/>
  <c r="V79" i="10"/>
  <c r="V78" i="10"/>
  <c r="V77" i="10"/>
  <c r="V76" i="10"/>
  <c r="P103" i="10"/>
  <c r="P80" i="10"/>
  <c r="P76" i="10"/>
  <c r="P79" i="10"/>
  <c r="P78" i="10"/>
  <c r="P77" i="10"/>
  <c r="U103" i="10"/>
  <c r="U80" i="10"/>
  <c r="U79" i="10"/>
  <c r="U78" i="10"/>
  <c r="U77" i="10"/>
  <c r="U76" i="10"/>
  <c r="Q103" i="11"/>
  <c r="Q80" i="11"/>
  <c r="Q79" i="11"/>
  <c r="Q78" i="11"/>
  <c r="Q77" i="11"/>
  <c r="Q76" i="11"/>
  <c r="S103" i="11"/>
  <c r="S119" i="11" s="1"/>
  <c r="S78" i="11"/>
  <c r="S91" i="11" s="1"/>
  <c r="S92" i="11" s="1"/>
  <c r="S93" i="11" s="1"/>
  <c r="S105" i="11" s="1"/>
  <c r="S120" i="11" s="1"/>
  <c r="S77" i="11"/>
  <c r="S80" i="11"/>
  <c r="S76" i="11"/>
  <c r="S79" i="11"/>
  <c r="S94" i="11" s="1"/>
  <c r="S95" i="11" s="1"/>
  <c r="S96" i="11" s="1"/>
  <c r="S106" i="11" s="1"/>
  <c r="T103" i="11"/>
  <c r="T119" i="11" s="1"/>
  <c r="T80" i="11"/>
  <c r="T79" i="11"/>
  <c r="T78" i="11"/>
  <c r="T77" i="11"/>
  <c r="T76" i="11"/>
  <c r="T102" i="11" s="1"/>
  <c r="U38" i="2"/>
  <c r="Y103" i="2"/>
  <c r="Y79" i="2"/>
  <c r="Y76" i="2"/>
  <c r="Y80" i="2"/>
  <c r="Y78" i="2"/>
  <c r="Y77" i="2"/>
  <c r="S119" i="10"/>
  <c r="S103" i="8"/>
  <c r="S80" i="8"/>
  <c r="S78" i="8"/>
  <c r="S76" i="8"/>
  <c r="S79" i="8"/>
  <c r="S77" i="8"/>
  <c r="X103" i="8"/>
  <c r="X78" i="8"/>
  <c r="X91" i="8" s="1"/>
  <c r="X92" i="8" s="1"/>
  <c r="X93" i="8" s="1"/>
  <c r="X76" i="8"/>
  <c r="X77" i="8"/>
  <c r="X88" i="8" s="1"/>
  <c r="X80" i="8"/>
  <c r="X97" i="8" s="1"/>
  <c r="X79" i="8"/>
  <c r="V103" i="8"/>
  <c r="V80" i="8"/>
  <c r="V79" i="8"/>
  <c r="V94" i="8" s="1"/>
  <c r="V95" i="8" s="1"/>
  <c r="V96" i="8" s="1"/>
  <c r="V106" i="8" s="1"/>
  <c r="V78" i="8"/>
  <c r="V91" i="8" s="1"/>
  <c r="V92" i="8" s="1"/>
  <c r="V93" i="8" s="1"/>
  <c r="V105" i="8" s="1"/>
  <c r="V77" i="8"/>
  <c r="V76" i="8"/>
  <c r="V85" i="8" s="1"/>
  <c r="V86" i="8" s="1"/>
  <c r="V87" i="8" s="1"/>
  <c r="V102" i="8" s="1"/>
  <c r="X103" i="9"/>
  <c r="X77" i="9"/>
  <c r="X88" i="9" s="1"/>
  <c r="X89" i="9" s="1"/>
  <c r="X90" i="9" s="1"/>
  <c r="X79" i="9"/>
  <c r="X80" i="9"/>
  <c r="X97" i="9" s="1"/>
  <c r="X98" i="9" s="1"/>
  <c r="X99" i="9" s="1"/>
  <c r="X78" i="9"/>
  <c r="X76" i="9"/>
  <c r="X85" i="9" s="1"/>
  <c r="X86" i="9" s="1"/>
  <c r="X87" i="9" s="1"/>
  <c r="O79" i="10"/>
  <c r="O77" i="10"/>
  <c r="O78" i="10"/>
  <c r="O76" i="10"/>
  <c r="O80" i="10"/>
  <c r="T103" i="10"/>
  <c r="T119" i="10" s="1"/>
  <c r="T77" i="10"/>
  <c r="T80" i="10"/>
  <c r="T76" i="10"/>
  <c r="T79" i="10"/>
  <c r="T78" i="10"/>
  <c r="R80" i="10"/>
  <c r="R97" i="10" s="1"/>
  <c r="R98" i="10" s="1"/>
  <c r="R99" i="10" s="1"/>
  <c r="R107" i="10" s="1"/>
  <c r="R121" i="10" s="1"/>
  <c r="R79" i="10"/>
  <c r="R78" i="10"/>
  <c r="R91" i="10" s="1"/>
  <c r="R92" i="10" s="1"/>
  <c r="R93" i="10" s="1"/>
  <c r="R105" i="10" s="1"/>
  <c r="R120" i="10" s="1"/>
  <c r="R77" i="10"/>
  <c r="R76" i="10"/>
  <c r="U103" i="11"/>
  <c r="U80" i="11"/>
  <c r="U79" i="11"/>
  <c r="U78" i="11"/>
  <c r="U77" i="11"/>
  <c r="U76" i="11"/>
  <c r="W103" i="11"/>
  <c r="W79" i="11"/>
  <c r="W76" i="11"/>
  <c r="W77" i="11"/>
  <c r="W88" i="11" s="1"/>
  <c r="W80" i="11"/>
  <c r="W78" i="11"/>
  <c r="W91" i="11" s="1"/>
  <c r="W92" i="11" s="1"/>
  <c r="W93" i="11" s="1"/>
  <c r="V103" i="11"/>
  <c r="V80" i="11"/>
  <c r="V79" i="11"/>
  <c r="V78" i="11"/>
  <c r="V91" i="11" s="1"/>
  <c r="V92" i="11" s="1"/>
  <c r="V93" i="11" s="1"/>
  <c r="V105" i="11" s="1"/>
  <c r="V77" i="11"/>
  <c r="V88" i="11" s="1"/>
  <c r="V89" i="11" s="1"/>
  <c r="V90" i="11" s="1"/>
  <c r="V104" i="11" s="1"/>
  <c r="V76" i="11"/>
  <c r="V38" i="2"/>
  <c r="T103" i="9"/>
  <c r="T119" i="9" s="1"/>
  <c r="W103" i="8"/>
  <c r="W79" i="8"/>
  <c r="W94" i="8" s="1"/>
  <c r="W77" i="8"/>
  <c r="W80" i="8"/>
  <c r="W97" i="8" s="1"/>
  <c r="W98" i="8" s="1"/>
  <c r="W99" i="8" s="1"/>
  <c r="W107" i="8" s="1"/>
  <c r="W121" i="8" s="1"/>
  <c r="W78" i="8"/>
  <c r="W76" i="8"/>
  <c r="Q103" i="8"/>
  <c r="Q80" i="8"/>
  <c r="Q79" i="8"/>
  <c r="Q78" i="8"/>
  <c r="Q77" i="8"/>
  <c r="Q76" i="8"/>
  <c r="Q103" i="9"/>
  <c r="Q80" i="9"/>
  <c r="Q79" i="9"/>
  <c r="Q94" i="9" s="1"/>
  <c r="Q95" i="9" s="1"/>
  <c r="Q96" i="9" s="1"/>
  <c r="Q106" i="9" s="1"/>
  <c r="Q78" i="9"/>
  <c r="Q91" i="9" s="1"/>
  <c r="Q92" i="9" s="1"/>
  <c r="Q93" i="9" s="1"/>
  <c r="Q105" i="9" s="1"/>
  <c r="Q77" i="9"/>
  <c r="Q88" i="9" s="1"/>
  <c r="Q89" i="9" s="1"/>
  <c r="Q90" i="9" s="1"/>
  <c r="Q104" i="9" s="1"/>
  <c r="Q76" i="9"/>
  <c r="Q102" i="9" s="1"/>
  <c r="W80" i="9"/>
  <c r="W97" i="9" s="1"/>
  <c r="W98" i="9" s="1"/>
  <c r="W99" i="9" s="1"/>
  <c r="W107" i="9" s="1"/>
  <c r="W121" i="9" s="1"/>
  <c r="W78" i="9"/>
  <c r="W91" i="9" s="1"/>
  <c r="W76" i="9"/>
  <c r="W85" i="9" s="1"/>
  <c r="W86" i="9" s="1"/>
  <c r="W87" i="9" s="1"/>
  <c r="W79" i="9"/>
  <c r="W94" i="9" s="1"/>
  <c r="W77" i="9"/>
  <c r="W88" i="9" s="1"/>
  <c r="W89" i="9" s="1"/>
  <c r="W90" i="9" s="1"/>
  <c r="R103" i="9"/>
  <c r="R119" i="9" s="1"/>
  <c r="R80" i="9"/>
  <c r="R79" i="9"/>
  <c r="R78" i="9"/>
  <c r="R77" i="9"/>
  <c r="R76" i="9"/>
  <c r="S80" i="10"/>
  <c r="S78" i="10"/>
  <c r="S76" i="10"/>
  <c r="S79" i="10"/>
  <c r="S77" i="10"/>
  <c r="S88" i="10" s="1"/>
  <c r="S89" i="10" s="1"/>
  <c r="S90" i="10" s="1"/>
  <c r="X78" i="10"/>
  <c r="X91" i="10" s="1"/>
  <c r="X77" i="10"/>
  <c r="X80" i="10"/>
  <c r="X76" i="10"/>
  <c r="X79" i="10"/>
  <c r="X94" i="10" s="1"/>
  <c r="X95" i="10" s="1"/>
  <c r="X96" i="10" s="1"/>
  <c r="R103" i="11"/>
  <c r="R80" i="11"/>
  <c r="R79" i="11"/>
  <c r="R78" i="11"/>
  <c r="R77" i="11"/>
  <c r="R76" i="11"/>
  <c r="X103" i="11"/>
  <c r="X79" i="11"/>
  <c r="X78" i="11"/>
  <c r="X91" i="11" s="1"/>
  <c r="X92" i="11" s="1"/>
  <c r="X93" i="11" s="1"/>
  <c r="X77" i="11"/>
  <c r="X80" i="11"/>
  <c r="X76" i="11"/>
  <c r="S103" i="9"/>
  <c r="S79" i="9"/>
  <c r="S77" i="9"/>
  <c r="S88" i="9" s="1"/>
  <c r="S89" i="9" s="1"/>
  <c r="S90" i="9" s="1"/>
  <c r="S76" i="9"/>
  <c r="S102" i="9" s="1"/>
  <c r="S80" i="9"/>
  <c r="S78" i="9"/>
  <c r="P103" i="8"/>
  <c r="P80" i="8"/>
  <c r="P78" i="8"/>
  <c r="P76" i="8"/>
  <c r="P79" i="8"/>
  <c r="P77" i="8"/>
  <c r="U103" i="8"/>
  <c r="U80" i="8"/>
  <c r="U79" i="8"/>
  <c r="U78" i="8"/>
  <c r="U77" i="8"/>
  <c r="U88" i="8" s="1"/>
  <c r="U89" i="8" s="1"/>
  <c r="U90" i="8" s="1"/>
  <c r="U76" i="8"/>
  <c r="U103" i="9"/>
  <c r="U80" i="9"/>
  <c r="U79" i="9"/>
  <c r="U78" i="9"/>
  <c r="U77" i="9"/>
  <c r="U76" i="9"/>
  <c r="P79" i="9"/>
  <c r="P77" i="9"/>
  <c r="P80" i="9"/>
  <c r="P78" i="9"/>
  <c r="P76" i="9"/>
  <c r="V80" i="9"/>
  <c r="V79" i="9"/>
  <c r="V78" i="9"/>
  <c r="V77" i="9"/>
  <c r="V88" i="9" s="1"/>
  <c r="V89" i="9" s="1"/>
  <c r="V90" i="9" s="1"/>
  <c r="V76" i="9"/>
  <c r="W79" i="10"/>
  <c r="W94" i="10" s="1"/>
  <c r="W77" i="10"/>
  <c r="W80" i="10"/>
  <c r="W97" i="10" s="1"/>
  <c r="W98" i="10" s="1"/>
  <c r="W99" i="10" s="1"/>
  <c r="W78" i="10"/>
  <c r="W91" i="10" s="1"/>
  <c r="W92" i="10" s="1"/>
  <c r="W93" i="10" s="1"/>
  <c r="W76" i="10"/>
  <c r="W85" i="10" s="1"/>
  <c r="W86" i="10" s="1"/>
  <c r="W87" i="10" s="1"/>
  <c r="Q80" i="10"/>
  <c r="Q79" i="10"/>
  <c r="Q94" i="10" s="1"/>
  <c r="Q95" i="10" s="1"/>
  <c r="Q96" i="10" s="1"/>
  <c r="Q106" i="10" s="1"/>
  <c r="Q78" i="10"/>
  <c r="Q77" i="10"/>
  <c r="Q88" i="10" s="1"/>
  <c r="Q89" i="10" s="1"/>
  <c r="Q90" i="10" s="1"/>
  <c r="Q76" i="10"/>
  <c r="O76" i="11"/>
  <c r="O77" i="11"/>
  <c r="O80" i="11"/>
  <c r="O78" i="11"/>
  <c r="O79" i="11"/>
  <c r="P103" i="11"/>
  <c r="P119" i="11" s="1"/>
  <c r="P80" i="11"/>
  <c r="P79" i="11"/>
  <c r="P78" i="11"/>
  <c r="P77" i="11"/>
  <c r="P76" i="11"/>
  <c r="P102" i="11" s="1"/>
  <c r="Y71" i="8"/>
  <c r="Y71" i="9"/>
  <c r="Y71" i="11"/>
  <c r="Y71" i="10"/>
  <c r="U38" i="8"/>
  <c r="V38" i="8"/>
  <c r="R85" i="10"/>
  <c r="R86" i="10" s="1"/>
  <c r="R87" i="10" s="1"/>
  <c r="S91" i="9"/>
  <c r="S92" i="9" s="1"/>
  <c r="S93" i="9" s="1"/>
  <c r="S105" i="9" s="1"/>
  <c r="S120" i="9" s="1"/>
  <c r="Y194" i="1"/>
  <c r="Y195" i="1"/>
  <c r="Y196" i="1"/>
  <c r="Y193" i="1"/>
  <c r="Y192" i="1"/>
  <c r="S2" i="1"/>
  <c r="R2" i="11"/>
  <c r="R146" i="11" s="1"/>
  <c r="R2" i="9"/>
  <c r="R146" i="9" s="1"/>
  <c r="R2" i="8"/>
  <c r="R146" i="8" s="1"/>
  <c r="R2" i="10"/>
  <c r="R146" i="10" s="1"/>
  <c r="R2" i="7"/>
  <c r="R8" i="7" s="1"/>
  <c r="R2" i="2"/>
  <c r="R146" i="2" s="1"/>
  <c r="P97" i="10"/>
  <c r="P98" i="10" s="1"/>
  <c r="P99" i="10" s="1"/>
  <c r="U88" i="11"/>
  <c r="U89" i="11" s="1"/>
  <c r="U90" i="11" s="1"/>
  <c r="O97" i="8"/>
  <c r="O98" i="8" s="1"/>
  <c r="O99" i="8" s="1"/>
  <c r="O107" i="8" s="1"/>
  <c r="O121" i="8" s="1"/>
  <c r="V94" i="11"/>
  <c r="V95" i="11" s="1"/>
  <c r="V96" i="11" s="1"/>
  <c r="V88" i="8"/>
  <c r="V89" i="8" s="1"/>
  <c r="V90" i="8" s="1"/>
  <c r="V97" i="8"/>
  <c r="V98" i="8" s="1"/>
  <c r="V99" i="8" s="1"/>
  <c r="U91" i="8"/>
  <c r="U92" i="8" s="1"/>
  <c r="U93" i="8" s="1"/>
  <c r="T88" i="9"/>
  <c r="T89" i="9" s="1"/>
  <c r="T90" i="9" s="1"/>
  <c r="T104" i="9" s="1"/>
  <c r="T97" i="9"/>
  <c r="T98" i="9" s="1"/>
  <c r="T99" i="9" s="1"/>
  <c r="T107" i="9" s="1"/>
  <c r="T121" i="9" s="1"/>
  <c r="S85" i="9"/>
  <c r="S86" i="9" s="1"/>
  <c r="S87" i="9" s="1"/>
  <c r="R88" i="10"/>
  <c r="R89" i="10" s="1"/>
  <c r="R90" i="10" s="1"/>
  <c r="Q85" i="10"/>
  <c r="Q86" i="10" s="1"/>
  <c r="Q87" i="10" s="1"/>
  <c r="R97" i="2"/>
  <c r="R98" i="2" s="1"/>
  <c r="R99" i="2" s="1"/>
  <c r="R119" i="2"/>
  <c r="W97" i="2"/>
  <c r="W98" i="2" s="1"/>
  <c r="W99" i="2" s="1"/>
  <c r="W119" i="2"/>
  <c r="Q97" i="2"/>
  <c r="Q98" i="2" s="1"/>
  <c r="Q99" i="2" s="1"/>
  <c r="Q119" i="2"/>
  <c r="T97" i="2"/>
  <c r="T98" i="2" s="1"/>
  <c r="T99" i="2" s="1"/>
  <c r="T119" i="2"/>
  <c r="U97" i="2"/>
  <c r="U98" i="2" s="1"/>
  <c r="U99" i="2" s="1"/>
  <c r="U119" i="2"/>
  <c r="P97" i="2"/>
  <c r="P98" i="2" s="1"/>
  <c r="P99" i="2" s="1"/>
  <c r="P119" i="2"/>
  <c r="O97" i="2"/>
  <c r="O98" i="2" s="1"/>
  <c r="O99" i="2" s="1"/>
  <c r="O107" i="2" s="1"/>
  <c r="O121" i="2" s="1"/>
  <c r="O119" i="2"/>
  <c r="V97" i="2"/>
  <c r="V98" i="2" s="1"/>
  <c r="V99" i="2" s="1"/>
  <c r="V119" i="2"/>
  <c r="W97" i="11"/>
  <c r="W98" i="11" s="1"/>
  <c r="W99" i="11" s="1"/>
  <c r="V28" i="9"/>
  <c r="U28" i="9"/>
  <c r="V28" i="8"/>
  <c r="U28" i="8"/>
  <c r="V28" i="10"/>
  <c r="U28" i="10"/>
  <c r="V28" i="11"/>
  <c r="U28" i="11"/>
  <c r="V95" i="2"/>
  <c r="V96" i="2" s="1"/>
  <c r="V106" i="2" s="1"/>
  <c r="S95" i="2"/>
  <c r="S96" i="2" s="1"/>
  <c r="S106" i="2" s="1"/>
  <c r="T95" i="2"/>
  <c r="T96" i="2" s="1"/>
  <c r="R95" i="2"/>
  <c r="R96" i="2" s="1"/>
  <c r="P95" i="2"/>
  <c r="P96" i="2" s="1"/>
  <c r="Q95" i="2"/>
  <c r="Q96" i="2" s="1"/>
  <c r="U92" i="2"/>
  <c r="U93" i="2" s="1"/>
  <c r="V92" i="2"/>
  <c r="V93" i="2" s="1"/>
  <c r="V105" i="2" s="1"/>
  <c r="V120" i="2" s="1"/>
  <c r="R92" i="2"/>
  <c r="R93" i="2" s="1"/>
  <c r="Q92" i="2"/>
  <c r="Q93" i="2" s="1"/>
  <c r="W92" i="2"/>
  <c r="W93" i="2" s="1"/>
  <c r="T89" i="2"/>
  <c r="T90" i="2" s="1"/>
  <c r="P89" i="2"/>
  <c r="P90" i="2" s="1"/>
  <c r="Q89" i="2"/>
  <c r="Q90" i="2" s="1"/>
  <c r="V89" i="2"/>
  <c r="V90" i="2" s="1"/>
  <c r="R89" i="2"/>
  <c r="R90" i="2" s="1"/>
  <c r="W89" i="11"/>
  <c r="W90" i="11" s="1"/>
  <c r="Q86" i="2"/>
  <c r="Q87" i="2" s="1"/>
  <c r="U86" i="2"/>
  <c r="U87" i="2" s="1"/>
  <c r="S86" i="2"/>
  <c r="S87" i="2" s="1"/>
  <c r="R86" i="2"/>
  <c r="R87" i="2" s="1"/>
  <c r="R102" i="2" s="1"/>
  <c r="W86" i="2"/>
  <c r="W87" i="2" s="1"/>
  <c r="V86" i="2"/>
  <c r="V87" i="2" s="1"/>
  <c r="V102" i="2" s="1"/>
  <c r="V85" i="11"/>
  <c r="V86" i="11" s="1"/>
  <c r="V87" i="11" s="1"/>
  <c r="V102" i="11" s="1"/>
  <c r="W104" i="9"/>
  <c r="W102" i="9"/>
  <c r="W94" i="11"/>
  <c r="W95" i="11" s="1"/>
  <c r="W96" i="11" s="1"/>
  <c r="W119" i="9"/>
  <c r="V107" i="8"/>
  <c r="V121" i="8" s="1"/>
  <c r="S102" i="2"/>
  <c r="X85" i="8"/>
  <c r="X86" i="8" s="1"/>
  <c r="X87" i="8" s="1"/>
  <c r="X94" i="8"/>
  <c r="Y70" i="2"/>
  <c r="Y70" i="10"/>
  <c r="Y70" i="11"/>
  <c r="Y70" i="8"/>
  <c r="Y70" i="9"/>
  <c r="Z187" i="1"/>
  <c r="X88" i="2"/>
  <c r="X85" i="2"/>
  <c r="X86" i="2" s="1"/>
  <c r="X87" i="2" s="1"/>
  <c r="X94" i="2"/>
  <c r="X91" i="2"/>
  <c r="X91" i="9"/>
  <c r="X92" i="9" s="1"/>
  <c r="X93" i="9" s="1"/>
  <c r="X94" i="9"/>
  <c r="W85" i="8"/>
  <c r="X94" i="11"/>
  <c r="X95" i="11" s="1"/>
  <c r="X96" i="11" s="1"/>
  <c r="X88" i="11"/>
  <c r="X89" i="11" s="1"/>
  <c r="X90" i="11" s="1"/>
  <c r="X97" i="11"/>
  <c r="X85" i="11"/>
  <c r="W88" i="10"/>
  <c r="X97" i="10"/>
  <c r="X85" i="10"/>
  <c r="X88" i="10"/>
  <c r="X89" i="10" s="1"/>
  <c r="X90" i="10" s="1"/>
  <c r="O91" i="2"/>
  <c r="Z69" i="9"/>
  <c r="Z69" i="10"/>
  <c r="Z69" i="8"/>
  <c r="Z69" i="11"/>
  <c r="O95" i="2"/>
  <c r="O96" i="2" s="1"/>
  <c r="O89" i="2"/>
  <c r="O90" i="2" s="1"/>
  <c r="U104" i="2"/>
  <c r="U105" i="8"/>
  <c r="U120" i="8" s="1"/>
  <c r="R119" i="8"/>
  <c r="P107" i="10"/>
  <c r="P121" i="10" s="1"/>
  <c r="Q119" i="9"/>
  <c r="T119" i="8"/>
  <c r="R119" i="11"/>
  <c r="V119" i="11"/>
  <c r="Q102" i="10"/>
  <c r="U119" i="10"/>
  <c r="W102" i="10"/>
  <c r="R102" i="10"/>
  <c r="V119" i="10"/>
  <c r="P119" i="9"/>
  <c r="Q119" i="8"/>
  <c r="S119" i="8"/>
  <c r="O119" i="8"/>
  <c r="P50" i="2"/>
  <c r="Z69" i="2"/>
  <c r="U28" i="2"/>
  <c r="V28" i="2"/>
  <c r="O102" i="2"/>
  <c r="T16" i="1"/>
  <c r="S104" i="10" l="1"/>
  <c r="U94" i="8"/>
  <c r="U95" i="8" s="1"/>
  <c r="U96" i="8" s="1"/>
  <c r="U106" i="8" s="1"/>
  <c r="P85" i="11"/>
  <c r="P86" i="11" s="1"/>
  <c r="P87" i="11" s="1"/>
  <c r="Q85" i="9"/>
  <c r="Q86" i="9" s="1"/>
  <c r="Q87" i="9" s="1"/>
  <c r="Q120" i="9"/>
  <c r="V120" i="11"/>
  <c r="V120" i="8"/>
  <c r="V97" i="11"/>
  <c r="V98" i="11" s="1"/>
  <c r="V99" i="11" s="1"/>
  <c r="V107" i="11" s="1"/>
  <c r="V121" i="11" s="1"/>
  <c r="Y103" i="9"/>
  <c r="Y80" i="9"/>
  <c r="Y97" i="9" s="1"/>
  <c r="Y98" i="9" s="1"/>
  <c r="Y99" i="9" s="1"/>
  <c r="Y79" i="9"/>
  <c r="Y94" i="9" s="1"/>
  <c r="Y95" i="9" s="1"/>
  <c r="Y96" i="9" s="1"/>
  <c r="Y78" i="9"/>
  <c r="Y77" i="9"/>
  <c r="Y76" i="9"/>
  <c r="Y85" i="9" s="1"/>
  <c r="Y86" i="9" s="1"/>
  <c r="Y87" i="9" s="1"/>
  <c r="T120" i="9"/>
  <c r="Y103" i="8"/>
  <c r="Y80" i="8"/>
  <c r="Y79" i="8"/>
  <c r="Y94" i="8" s="1"/>
  <c r="Y78" i="8"/>
  <c r="Y91" i="8" s="1"/>
  <c r="Y77" i="8"/>
  <c r="Y76" i="8"/>
  <c r="T88" i="11"/>
  <c r="T89" i="11" s="1"/>
  <c r="T90" i="11" s="1"/>
  <c r="T104" i="11" s="1"/>
  <c r="Y103" i="10"/>
  <c r="Y80" i="10"/>
  <c r="Y79" i="10"/>
  <c r="Y78" i="10"/>
  <c r="Y91" i="10" s="1"/>
  <c r="Y92" i="10" s="1"/>
  <c r="Y93" i="10" s="1"/>
  <c r="Y77" i="10"/>
  <c r="Y76" i="10"/>
  <c r="T85" i="11"/>
  <c r="T86" i="11" s="1"/>
  <c r="T87" i="11" s="1"/>
  <c r="R105" i="8"/>
  <c r="R120" i="8" s="1"/>
  <c r="Y103" i="11"/>
  <c r="Y80" i="11"/>
  <c r="Y79" i="11"/>
  <c r="Y78" i="11"/>
  <c r="Y91" i="11" s="1"/>
  <c r="Y92" i="11" s="1"/>
  <c r="Y93" i="11" s="1"/>
  <c r="Y77" i="11"/>
  <c r="Y76" i="11"/>
  <c r="Z71" i="2"/>
  <c r="Z71" i="11"/>
  <c r="Z71" i="10"/>
  <c r="Z71" i="9"/>
  <c r="Z71" i="8"/>
  <c r="V106" i="11"/>
  <c r="Q97" i="10"/>
  <c r="Q98" i="10" s="1"/>
  <c r="Q99" i="10" s="1"/>
  <c r="Q107" i="10" s="1"/>
  <c r="Q121" i="10" s="1"/>
  <c r="S97" i="9"/>
  <c r="S98" i="9" s="1"/>
  <c r="S99" i="9" s="1"/>
  <c r="S107" i="9" s="1"/>
  <c r="S121" i="9" s="1"/>
  <c r="S94" i="9"/>
  <c r="S95" i="9" s="1"/>
  <c r="S96" i="9" s="1"/>
  <c r="S106" i="9" s="1"/>
  <c r="R85" i="8"/>
  <c r="R86" i="8" s="1"/>
  <c r="R87" i="8" s="1"/>
  <c r="R102" i="8"/>
  <c r="S85" i="11"/>
  <c r="S86" i="11" s="1"/>
  <c r="S87" i="11" s="1"/>
  <c r="S102" i="11"/>
  <c r="S94" i="10"/>
  <c r="S95" i="10" s="1"/>
  <c r="S96" i="10" s="1"/>
  <c r="S106" i="10" s="1"/>
  <c r="V91" i="9"/>
  <c r="V92" i="9" s="1"/>
  <c r="V93" i="9" s="1"/>
  <c r="V105" i="9" s="1"/>
  <c r="V120" i="9" s="1"/>
  <c r="P88" i="8"/>
  <c r="P89" i="8" s="1"/>
  <c r="P90" i="8" s="1"/>
  <c r="O94" i="8"/>
  <c r="O95" i="8" s="1"/>
  <c r="O96" i="8" s="1"/>
  <c r="O106" i="8" s="1"/>
  <c r="T94" i="11"/>
  <c r="T95" i="11" s="1"/>
  <c r="T96" i="11" s="1"/>
  <c r="T106" i="11" s="1"/>
  <c r="Q88" i="11"/>
  <c r="Q89" i="11" s="1"/>
  <c r="Q90" i="11" s="1"/>
  <c r="Q104" i="11" s="1"/>
  <c r="O88" i="11"/>
  <c r="O89" i="11" s="1"/>
  <c r="O90" i="11" s="1"/>
  <c r="O104" i="11" s="1"/>
  <c r="P97" i="11"/>
  <c r="P98" i="11" s="1"/>
  <c r="P99" i="11" s="1"/>
  <c r="P107" i="11" s="1"/>
  <c r="P121" i="11" s="1"/>
  <c r="T94" i="9"/>
  <c r="T95" i="9" s="1"/>
  <c r="T96" i="9" s="1"/>
  <c r="T106" i="9" s="1"/>
  <c r="S97" i="11"/>
  <c r="S98" i="11" s="1"/>
  <c r="S99" i="11" s="1"/>
  <c r="S107" i="11" s="1"/>
  <c r="S121" i="11" s="1"/>
  <c r="S91" i="10"/>
  <c r="S92" i="10" s="1"/>
  <c r="S93" i="10" s="1"/>
  <c r="S105" i="10" s="1"/>
  <c r="S120" i="10" s="1"/>
  <c r="O85" i="8"/>
  <c r="O86" i="8" s="1"/>
  <c r="O87" i="8" s="1"/>
  <c r="O102" i="8"/>
  <c r="T91" i="10"/>
  <c r="T92" i="10" s="1"/>
  <c r="T93" i="10" s="1"/>
  <c r="T105" i="10" s="1"/>
  <c r="T120" i="10" s="1"/>
  <c r="P88" i="10"/>
  <c r="P89" i="10" s="1"/>
  <c r="P90" i="10" s="1"/>
  <c r="U88" i="9"/>
  <c r="U89" i="9" s="1"/>
  <c r="U90" i="9" s="1"/>
  <c r="Z196" i="1"/>
  <c r="Z195" i="1"/>
  <c r="Z194" i="1"/>
  <c r="K129" i="1" s="1"/>
  <c r="Z193" i="1"/>
  <c r="Z192" i="1"/>
  <c r="R94" i="10"/>
  <c r="R95" i="10" s="1"/>
  <c r="R96" i="10" s="1"/>
  <c r="R106" i="10" s="1"/>
  <c r="T85" i="9"/>
  <c r="T86" i="9" s="1"/>
  <c r="T87" i="9" s="1"/>
  <c r="T102" i="9"/>
  <c r="R88" i="8"/>
  <c r="R89" i="8" s="1"/>
  <c r="R90" i="8" s="1"/>
  <c r="R104" i="8" s="1"/>
  <c r="S88" i="11"/>
  <c r="S89" i="11" s="1"/>
  <c r="S90" i="11" s="1"/>
  <c r="S104" i="11" s="1"/>
  <c r="T97" i="11"/>
  <c r="T98" i="11" s="1"/>
  <c r="T99" i="11" s="1"/>
  <c r="T107" i="11" s="1"/>
  <c r="T121" i="11" s="1"/>
  <c r="O88" i="10"/>
  <c r="O89" i="10" s="1"/>
  <c r="O90" i="10" s="1"/>
  <c r="O104" i="10" s="1"/>
  <c r="T85" i="10"/>
  <c r="T86" i="10" s="1"/>
  <c r="T87" i="10" s="1"/>
  <c r="T102" i="10"/>
  <c r="T94" i="10"/>
  <c r="T95" i="10" s="1"/>
  <c r="T96" i="10" s="1"/>
  <c r="T106" i="10" s="1"/>
  <c r="T2" i="1"/>
  <c r="S2" i="9"/>
  <c r="S146" i="9" s="1"/>
  <c r="S2" i="8"/>
  <c r="S146" i="8" s="1"/>
  <c r="S2" i="10"/>
  <c r="S146" i="10" s="1"/>
  <c r="S2" i="11"/>
  <c r="S146" i="11" s="1"/>
  <c r="S2" i="7"/>
  <c r="S8" i="7" s="1"/>
  <c r="S2" i="2"/>
  <c r="S146" i="2" s="1"/>
  <c r="O85" i="11"/>
  <c r="O86" i="11" s="1"/>
  <c r="O87" i="11" s="1"/>
  <c r="O102" i="11"/>
  <c r="R88" i="9"/>
  <c r="R89" i="9" s="1"/>
  <c r="R90" i="9" s="1"/>
  <c r="R104" i="9" s="1"/>
  <c r="Q91" i="8"/>
  <c r="Q92" i="8" s="1"/>
  <c r="Q93" i="8" s="1"/>
  <c r="Q105" i="8" s="1"/>
  <c r="Q120" i="8" s="1"/>
  <c r="S94" i="8"/>
  <c r="S95" i="8" s="1"/>
  <c r="S96" i="8" s="1"/>
  <c r="S106" i="8" s="1"/>
  <c r="T97" i="8"/>
  <c r="T98" i="8" s="1"/>
  <c r="T99" i="8" s="1"/>
  <c r="T107" i="8" s="1"/>
  <c r="T121" i="8" s="1"/>
  <c r="U85" i="8"/>
  <c r="U86" i="8" s="1"/>
  <c r="U87" i="8" s="1"/>
  <c r="U102" i="8"/>
  <c r="R97" i="8"/>
  <c r="R98" i="8" s="1"/>
  <c r="R99" i="8" s="1"/>
  <c r="R107" i="8" s="1"/>
  <c r="R121" i="8" s="1"/>
  <c r="S85" i="10"/>
  <c r="S86" i="10" s="1"/>
  <c r="S87" i="10" s="1"/>
  <c r="S102" i="10"/>
  <c r="S97" i="10"/>
  <c r="S98" i="10" s="1"/>
  <c r="S99" i="10" s="1"/>
  <c r="S107" i="10" s="1"/>
  <c r="S121" i="10" s="1"/>
  <c r="V85" i="9"/>
  <c r="V86" i="9" s="1"/>
  <c r="V87" i="9" s="1"/>
  <c r="V102" i="9" s="1"/>
  <c r="O91" i="8"/>
  <c r="O92" i="8" s="1"/>
  <c r="O93" i="8" s="1"/>
  <c r="O105" i="8" s="1"/>
  <c r="O120" i="8" s="1"/>
  <c r="T91" i="11"/>
  <c r="T92" i="11" s="1"/>
  <c r="T93" i="11" s="1"/>
  <c r="T105" i="11" s="1"/>
  <c r="T120" i="11" s="1"/>
  <c r="T97" i="10"/>
  <c r="T98" i="10" s="1"/>
  <c r="T99" i="10" s="1"/>
  <c r="T107" i="10" s="1"/>
  <c r="T121" i="10" s="1"/>
  <c r="V91" i="10"/>
  <c r="V92" i="10" s="1"/>
  <c r="V93" i="10" s="1"/>
  <c r="V105" i="10" s="1"/>
  <c r="V120" i="10" s="1"/>
  <c r="T88" i="8"/>
  <c r="T89" i="8" s="1"/>
  <c r="T90" i="8" s="1"/>
  <c r="T104" i="8" s="1"/>
  <c r="W105" i="11"/>
  <c r="W120" i="11" s="1"/>
  <c r="W106" i="11"/>
  <c r="X97" i="2"/>
  <c r="X98" i="2" s="1"/>
  <c r="X99" i="2" s="1"/>
  <c r="X119" i="2"/>
  <c r="W107" i="11"/>
  <c r="W121" i="11" s="1"/>
  <c r="O37" i="9"/>
  <c r="U37" i="9" s="1"/>
  <c r="O119" i="9"/>
  <c r="X98" i="8"/>
  <c r="X99" i="8" s="1"/>
  <c r="X107" i="8" s="1"/>
  <c r="X121" i="8" s="1"/>
  <c r="X95" i="8"/>
  <c r="X96" i="8" s="1"/>
  <c r="W95" i="9"/>
  <c r="W96" i="9" s="1"/>
  <c r="X95" i="2"/>
  <c r="X96" i="2" s="1"/>
  <c r="X98" i="10"/>
  <c r="X99" i="10" s="1"/>
  <c r="X107" i="10" s="1"/>
  <c r="X121" i="10" s="1"/>
  <c r="X95" i="9"/>
  <c r="X96" i="9" s="1"/>
  <c r="X106" i="9" s="1"/>
  <c r="W95" i="8"/>
  <c r="W96" i="8" s="1"/>
  <c r="W106" i="8" s="1"/>
  <c r="W95" i="10"/>
  <c r="W96" i="10" s="1"/>
  <c r="W106" i="10" s="1"/>
  <c r="X98" i="11"/>
  <c r="X99" i="11" s="1"/>
  <c r="X107" i="11" s="1"/>
  <c r="X121" i="11" s="1"/>
  <c r="X92" i="10"/>
  <c r="X93" i="10" s="1"/>
  <c r="X105" i="10" s="1"/>
  <c r="X120" i="10" s="1"/>
  <c r="W91" i="8"/>
  <c r="X92" i="2"/>
  <c r="X93" i="2" s="1"/>
  <c r="X105" i="2" s="1"/>
  <c r="X120" i="2" s="1"/>
  <c r="W92" i="9"/>
  <c r="W93" i="9" s="1"/>
  <c r="W105" i="9" s="1"/>
  <c r="W120" i="9" s="1"/>
  <c r="W104" i="11"/>
  <c r="W119" i="11"/>
  <c r="W89" i="10"/>
  <c r="W90" i="10" s="1"/>
  <c r="X89" i="2"/>
  <c r="X90" i="2" s="1"/>
  <c r="X89" i="8"/>
  <c r="X90" i="8" s="1"/>
  <c r="W88" i="8"/>
  <c r="W89" i="8" s="1"/>
  <c r="W90" i="8" s="1"/>
  <c r="W104" i="8" s="1"/>
  <c r="X86" i="10"/>
  <c r="X87" i="10" s="1"/>
  <c r="X102" i="10" s="1"/>
  <c r="W85" i="11"/>
  <c r="W86" i="11" s="1"/>
  <c r="W87" i="11" s="1"/>
  <c r="W102" i="11" s="1"/>
  <c r="X86" i="11"/>
  <c r="X87" i="11" s="1"/>
  <c r="W86" i="8"/>
  <c r="W87" i="8" s="1"/>
  <c r="W102" i="8" s="1"/>
  <c r="X106" i="11"/>
  <c r="W105" i="10"/>
  <c r="W120" i="10" s="1"/>
  <c r="V104" i="8"/>
  <c r="V119" i="8"/>
  <c r="W119" i="8"/>
  <c r="X105" i="11"/>
  <c r="X120" i="11" s="1"/>
  <c r="X102" i="8"/>
  <c r="Y88" i="9"/>
  <c r="Y91" i="9"/>
  <c r="Y85" i="2"/>
  <c r="Y88" i="2"/>
  <c r="Y89" i="2" s="1"/>
  <c r="Y90" i="2" s="1"/>
  <c r="Y94" i="2"/>
  <c r="Y95" i="2" s="1"/>
  <c r="Y96" i="2" s="1"/>
  <c r="Y97" i="8"/>
  <c r="Y98" i="8" s="1"/>
  <c r="Y99" i="8" s="1"/>
  <c r="Y85" i="8"/>
  <c r="Y86" i="8" s="1"/>
  <c r="Y87" i="8" s="1"/>
  <c r="Y88" i="8"/>
  <c r="Y89" i="8" s="1"/>
  <c r="Y90" i="8" s="1"/>
  <c r="Y97" i="11"/>
  <c r="Y98" i="11" s="1"/>
  <c r="Y99" i="11" s="1"/>
  <c r="Y94" i="11"/>
  <c r="Y85" i="11"/>
  <c r="Y86" i="11" s="1"/>
  <c r="Y87" i="11" s="1"/>
  <c r="Y88" i="11"/>
  <c r="Z70" i="11"/>
  <c r="Z70" i="10"/>
  <c r="Z70" i="9"/>
  <c r="Z70" i="8"/>
  <c r="Z70" i="2"/>
  <c r="J129" i="1"/>
  <c r="Y88" i="10"/>
  <c r="Y97" i="10"/>
  <c r="Y98" i="10" s="1"/>
  <c r="Y99" i="10" s="1"/>
  <c r="Y85" i="10"/>
  <c r="Y86" i="10" s="1"/>
  <c r="Y87" i="10" s="1"/>
  <c r="Y94" i="10"/>
  <c r="O92" i="2"/>
  <c r="U119" i="11"/>
  <c r="U104" i="11"/>
  <c r="O119" i="11"/>
  <c r="Q119" i="11"/>
  <c r="Q104" i="10"/>
  <c r="Q119" i="10"/>
  <c r="P104" i="10"/>
  <c r="P119" i="10"/>
  <c r="O119" i="10"/>
  <c r="U17" i="10"/>
  <c r="O51" i="10"/>
  <c r="R119" i="10"/>
  <c r="R104" i="10"/>
  <c r="S119" i="9"/>
  <c r="S104" i="9"/>
  <c r="V104" i="9"/>
  <c r="V119" i="9"/>
  <c r="U17" i="9"/>
  <c r="O51" i="9"/>
  <c r="U104" i="9"/>
  <c r="U119" i="9"/>
  <c r="O37" i="8"/>
  <c r="U104" i="8"/>
  <c r="U119" i="8"/>
  <c r="P104" i="8"/>
  <c r="P119" i="8"/>
  <c r="W102" i="2"/>
  <c r="S107" i="2"/>
  <c r="S121" i="2" s="1"/>
  <c r="V107" i="2"/>
  <c r="V121" i="2" s="1"/>
  <c r="V104" i="2"/>
  <c r="P104" i="2"/>
  <c r="T104" i="2"/>
  <c r="U107" i="2"/>
  <c r="U121" i="2" s="1"/>
  <c r="O106" i="2"/>
  <c r="R105" i="2"/>
  <c r="R120" i="2" s="1"/>
  <c r="U105" i="2"/>
  <c r="U120" i="2" s="1"/>
  <c r="P102" i="2"/>
  <c r="T106" i="2"/>
  <c r="U102" i="2"/>
  <c r="S105" i="2"/>
  <c r="S120" i="2" s="1"/>
  <c r="T102" i="2"/>
  <c r="P106" i="2"/>
  <c r="X102" i="2"/>
  <c r="U106" i="2"/>
  <c r="W106" i="2"/>
  <c r="Q105" i="2"/>
  <c r="Q120" i="2" s="1"/>
  <c r="U16" i="1"/>
  <c r="Z103" i="10" l="1"/>
  <c r="Z80" i="10"/>
  <c r="Z79" i="10"/>
  <c r="Z94" i="10" s="1"/>
  <c r="Z95" i="10" s="1"/>
  <c r="Z96" i="10" s="1"/>
  <c r="Z78" i="10"/>
  <c r="Z91" i="10" s="1"/>
  <c r="Z92" i="10" s="1"/>
  <c r="Z93" i="10" s="1"/>
  <c r="Z77" i="10"/>
  <c r="Z76" i="10"/>
  <c r="Z103" i="8"/>
  <c r="Z80" i="8"/>
  <c r="Z97" i="8" s="1"/>
  <c r="Z98" i="8" s="1"/>
  <c r="Z99" i="8" s="1"/>
  <c r="Z79" i="8"/>
  <c r="Z78" i="8"/>
  <c r="Z77" i="8"/>
  <c r="Z76" i="8"/>
  <c r="Z85" i="8" s="1"/>
  <c r="Z86" i="8" s="1"/>
  <c r="Z87" i="8" s="1"/>
  <c r="Z103" i="2"/>
  <c r="Z80" i="2"/>
  <c r="Z76" i="2"/>
  <c r="Z77" i="2"/>
  <c r="Z88" i="2" s="1"/>
  <c r="Z79" i="2"/>
  <c r="Z78" i="2"/>
  <c r="Z103" i="11"/>
  <c r="Z80" i="11"/>
  <c r="Z97" i="11" s="1"/>
  <c r="Z98" i="11" s="1"/>
  <c r="Z99" i="11" s="1"/>
  <c r="Z79" i="11"/>
  <c r="Z78" i="11"/>
  <c r="Z77" i="11"/>
  <c r="Z76" i="11"/>
  <c r="Z85" i="11" s="1"/>
  <c r="Z103" i="9"/>
  <c r="Z80" i="9"/>
  <c r="Z79" i="9"/>
  <c r="Z94" i="9" s="1"/>
  <c r="Z78" i="9"/>
  <c r="Z91" i="9" s="1"/>
  <c r="Z92" i="9" s="1"/>
  <c r="Z93" i="9" s="1"/>
  <c r="Z77" i="9"/>
  <c r="Z76" i="9"/>
  <c r="O49" i="9"/>
  <c r="R91" i="11"/>
  <c r="R92" i="11" s="1"/>
  <c r="R93" i="11" s="1"/>
  <c r="R105" i="11" s="1"/>
  <c r="R120" i="11" s="1"/>
  <c r="Q97" i="8"/>
  <c r="Q98" i="8" s="1"/>
  <c r="Q99" i="8" s="1"/>
  <c r="Q107" i="8" s="1"/>
  <c r="Q121" i="8" s="1"/>
  <c r="U85" i="9"/>
  <c r="U86" i="9" s="1"/>
  <c r="U87" i="9" s="1"/>
  <c r="U102" i="9"/>
  <c r="U91" i="10"/>
  <c r="U92" i="10" s="1"/>
  <c r="U93" i="10" s="1"/>
  <c r="U105" i="10" s="1"/>
  <c r="U120" i="10" s="1"/>
  <c r="P85" i="10"/>
  <c r="P86" i="10" s="1"/>
  <c r="P87" i="10" s="1"/>
  <c r="P102" i="10"/>
  <c r="O94" i="10"/>
  <c r="O95" i="10" s="1"/>
  <c r="O96" i="10" s="1"/>
  <c r="O106" i="10" s="1"/>
  <c r="O27" i="8"/>
  <c r="U27" i="8" s="1"/>
  <c r="V97" i="9"/>
  <c r="V98" i="9" s="1"/>
  <c r="V99" i="9" s="1"/>
  <c r="V107" i="9" s="1"/>
  <c r="V121" i="9" s="1"/>
  <c r="O91" i="9"/>
  <c r="O92" i="9" s="1"/>
  <c r="O93" i="9" s="1"/>
  <c r="O105" i="9" s="1"/>
  <c r="O120" i="9" s="1"/>
  <c r="U97" i="10"/>
  <c r="U98" i="10" s="1"/>
  <c r="U99" i="10" s="1"/>
  <c r="U107" i="10" s="1"/>
  <c r="U121" i="10" s="1"/>
  <c r="Q94" i="11"/>
  <c r="Q95" i="11" s="1"/>
  <c r="Q96" i="11" s="1"/>
  <c r="Q106" i="11" s="1"/>
  <c r="U2" i="1"/>
  <c r="T2" i="9"/>
  <c r="T146" i="9" s="1"/>
  <c r="T2" i="10"/>
  <c r="T146" i="10" s="1"/>
  <c r="T2" i="11"/>
  <c r="T146" i="11" s="1"/>
  <c r="T2" i="8"/>
  <c r="T146" i="8" s="1"/>
  <c r="T2" i="7"/>
  <c r="T8" i="7" s="1"/>
  <c r="T2" i="2"/>
  <c r="T146" i="2" s="1"/>
  <c r="R97" i="11"/>
  <c r="R98" i="11" s="1"/>
  <c r="R99" i="11" s="1"/>
  <c r="R107" i="11" s="1"/>
  <c r="R121" i="11" s="1"/>
  <c r="R97" i="9"/>
  <c r="R98" i="9" s="1"/>
  <c r="R99" i="9" s="1"/>
  <c r="R107" i="9" s="1"/>
  <c r="R121" i="9" s="1"/>
  <c r="U85" i="10"/>
  <c r="U86" i="10" s="1"/>
  <c r="U87" i="10" s="1"/>
  <c r="U102" i="10"/>
  <c r="P97" i="9"/>
  <c r="P98" i="9" s="1"/>
  <c r="P99" i="9" s="1"/>
  <c r="P107" i="9" s="1"/>
  <c r="P121" i="9" s="1"/>
  <c r="O91" i="10"/>
  <c r="O92" i="10" s="1"/>
  <c r="O93" i="10" s="1"/>
  <c r="O105" i="10" s="1"/>
  <c r="O120" i="10" s="1"/>
  <c r="P94" i="8"/>
  <c r="P95" i="8" s="1"/>
  <c r="P96" i="8" s="1"/>
  <c r="P106" i="8" s="1"/>
  <c r="S85" i="8"/>
  <c r="S86" i="8" s="1"/>
  <c r="S87" i="8" s="1"/>
  <c r="S102" i="8"/>
  <c r="O88" i="9"/>
  <c r="O89" i="9" s="1"/>
  <c r="O90" i="9" s="1"/>
  <c r="O104" i="9" s="1"/>
  <c r="P94" i="10"/>
  <c r="P95" i="10" s="1"/>
  <c r="P96" i="10" s="1"/>
  <c r="P106" i="10" s="1"/>
  <c r="U91" i="11"/>
  <c r="U92" i="11" s="1"/>
  <c r="U93" i="11" s="1"/>
  <c r="U105" i="11" s="1"/>
  <c r="U120" i="11" s="1"/>
  <c r="R94" i="11"/>
  <c r="R95" i="11" s="1"/>
  <c r="R96" i="11" s="1"/>
  <c r="R106" i="11" s="1"/>
  <c r="Q85" i="8"/>
  <c r="Q86" i="8" s="1"/>
  <c r="Q87" i="8" s="1"/>
  <c r="Q102" i="8"/>
  <c r="U97" i="9"/>
  <c r="U98" i="9" s="1"/>
  <c r="U99" i="9" s="1"/>
  <c r="U107" i="9" s="1"/>
  <c r="U121" i="9" s="1"/>
  <c r="O91" i="11"/>
  <c r="O92" i="11" s="1"/>
  <c r="O93" i="11" s="1"/>
  <c r="O105" i="11" s="1"/>
  <c r="O120" i="11" s="1"/>
  <c r="P91" i="10"/>
  <c r="P92" i="10" s="1"/>
  <c r="P93" i="10" s="1"/>
  <c r="P105" i="10" s="1"/>
  <c r="P120" i="10" s="1"/>
  <c r="U97" i="11"/>
  <c r="U98" i="11" s="1"/>
  <c r="U99" i="11" s="1"/>
  <c r="U107" i="11" s="1"/>
  <c r="U121" i="11" s="1"/>
  <c r="P94" i="11"/>
  <c r="P95" i="11" s="1"/>
  <c r="P96" i="11" s="1"/>
  <c r="P106" i="11" s="1"/>
  <c r="T94" i="8"/>
  <c r="T95" i="8" s="1"/>
  <c r="T96" i="8" s="1"/>
  <c r="T106" i="8" s="1"/>
  <c r="U94" i="9"/>
  <c r="U95" i="9" s="1"/>
  <c r="U96" i="9" s="1"/>
  <c r="U106" i="9" s="1"/>
  <c r="P91" i="9"/>
  <c r="P92" i="9" s="1"/>
  <c r="P93" i="9" s="1"/>
  <c r="P105" i="9" s="1"/>
  <c r="P120" i="9" s="1"/>
  <c r="P85" i="8"/>
  <c r="P86" i="8" s="1"/>
  <c r="P87" i="8" s="1"/>
  <c r="P102" i="8"/>
  <c r="T85" i="8"/>
  <c r="T86" i="8" s="1"/>
  <c r="T87" i="8" s="1"/>
  <c r="T102" i="8"/>
  <c r="O94" i="9"/>
  <c r="O95" i="9" s="1"/>
  <c r="O96" i="9" s="1"/>
  <c r="O106" i="9" s="1"/>
  <c r="O94" i="11"/>
  <c r="O95" i="11" s="1"/>
  <c r="O96" i="11" s="1"/>
  <c r="O106" i="11" s="1"/>
  <c r="U94" i="11"/>
  <c r="U95" i="11" s="1"/>
  <c r="U96" i="11" s="1"/>
  <c r="U106" i="11" s="1"/>
  <c r="V94" i="9"/>
  <c r="V95" i="9" s="1"/>
  <c r="V96" i="9" s="1"/>
  <c r="V106" i="9" s="1"/>
  <c r="R85" i="11"/>
  <c r="R86" i="11" s="1"/>
  <c r="R87" i="11" s="1"/>
  <c r="R102" i="11"/>
  <c r="Q94" i="8"/>
  <c r="Q95" i="8" s="1"/>
  <c r="Q96" i="8" s="1"/>
  <c r="Q106" i="8" s="1"/>
  <c r="U91" i="9"/>
  <c r="U92" i="9" s="1"/>
  <c r="U93" i="9" s="1"/>
  <c r="U105" i="9" s="1"/>
  <c r="U120" i="9" s="1"/>
  <c r="T88" i="10"/>
  <c r="T89" i="10" s="1"/>
  <c r="T90" i="10" s="1"/>
  <c r="T104" i="10" s="1"/>
  <c r="P91" i="8"/>
  <c r="P92" i="8" s="1"/>
  <c r="P93" i="8" s="1"/>
  <c r="P105" i="8" s="1"/>
  <c r="P120" i="8" s="1"/>
  <c r="R94" i="9"/>
  <c r="R95" i="9" s="1"/>
  <c r="R96" i="9" s="1"/>
  <c r="R106" i="9" s="1"/>
  <c r="Q97" i="11"/>
  <c r="Q98" i="11" s="1"/>
  <c r="Q99" i="11" s="1"/>
  <c r="Q107" i="11" s="1"/>
  <c r="Q121" i="11" s="1"/>
  <c r="P97" i="8"/>
  <c r="P98" i="8" s="1"/>
  <c r="P99" i="8" s="1"/>
  <c r="P107" i="8" s="1"/>
  <c r="P121" i="8" s="1"/>
  <c r="R88" i="11"/>
  <c r="R89" i="11" s="1"/>
  <c r="R90" i="11" s="1"/>
  <c r="R104" i="11" s="1"/>
  <c r="V97" i="10"/>
  <c r="V98" i="10" s="1"/>
  <c r="V99" i="10" s="1"/>
  <c r="V107" i="10" s="1"/>
  <c r="V121" i="10" s="1"/>
  <c r="U85" i="11"/>
  <c r="U86" i="11" s="1"/>
  <c r="U87" i="11" s="1"/>
  <c r="U102" i="11"/>
  <c r="S91" i="8"/>
  <c r="S92" i="8" s="1"/>
  <c r="S93" i="8" s="1"/>
  <c r="S105" i="8" s="1"/>
  <c r="S120" i="8" s="1"/>
  <c r="Q91" i="11"/>
  <c r="Q92" i="11" s="1"/>
  <c r="Q93" i="11" s="1"/>
  <c r="Q105" i="11" s="1"/>
  <c r="Q120" i="11" s="1"/>
  <c r="Q97" i="9"/>
  <c r="Q98" i="9" s="1"/>
  <c r="Q99" i="9" s="1"/>
  <c r="Q107" i="9" s="1"/>
  <c r="Q121" i="9" s="1"/>
  <c r="Q91" i="10"/>
  <c r="Q92" i="10" s="1"/>
  <c r="Q93" i="10" s="1"/>
  <c r="Q105" i="10" s="1"/>
  <c r="Q120" i="10" s="1"/>
  <c r="T91" i="8"/>
  <c r="T92" i="8" s="1"/>
  <c r="T93" i="8" s="1"/>
  <c r="T105" i="8" s="1"/>
  <c r="T120" i="8" s="1"/>
  <c r="R85" i="9"/>
  <c r="R86" i="9" s="1"/>
  <c r="R87" i="9" s="1"/>
  <c r="R102" i="9"/>
  <c r="V85" i="10"/>
  <c r="V86" i="10" s="1"/>
  <c r="V87" i="10" s="1"/>
  <c r="V102" i="10"/>
  <c r="P94" i="9"/>
  <c r="P95" i="9" s="1"/>
  <c r="P96" i="9" s="1"/>
  <c r="P106" i="9" s="1"/>
  <c r="O97" i="10"/>
  <c r="O98" i="10" s="1"/>
  <c r="O99" i="10" s="1"/>
  <c r="O107" i="10" s="1"/>
  <c r="O121" i="10" s="1"/>
  <c r="P88" i="11"/>
  <c r="P89" i="11" s="1"/>
  <c r="P90" i="11" s="1"/>
  <c r="P104" i="11" s="1"/>
  <c r="S97" i="8"/>
  <c r="S98" i="8" s="1"/>
  <c r="S99" i="8" s="1"/>
  <c r="S107" i="8" s="1"/>
  <c r="S121" i="8" s="1"/>
  <c r="O85" i="9"/>
  <c r="O86" i="9" s="1"/>
  <c r="O87" i="9" s="1"/>
  <c r="O102" i="9"/>
  <c r="U88" i="10"/>
  <c r="U89" i="10" s="1"/>
  <c r="U90" i="10" s="1"/>
  <c r="U104" i="10" s="1"/>
  <c r="P88" i="9"/>
  <c r="P89" i="9" s="1"/>
  <c r="P90" i="9" s="1"/>
  <c r="P104" i="9" s="1"/>
  <c r="R91" i="9"/>
  <c r="R92" i="9" s="1"/>
  <c r="R93" i="9" s="1"/>
  <c r="R105" i="9" s="1"/>
  <c r="R120" i="9" s="1"/>
  <c r="V88" i="10"/>
  <c r="V89" i="10" s="1"/>
  <c r="V90" i="10" s="1"/>
  <c r="V104" i="10" s="1"/>
  <c r="O97" i="11"/>
  <c r="O98" i="11" s="1"/>
  <c r="O99" i="11" s="1"/>
  <c r="O107" i="11" s="1"/>
  <c r="O121" i="11" s="1"/>
  <c r="P91" i="11"/>
  <c r="P92" i="11" s="1"/>
  <c r="P93" i="11" s="1"/>
  <c r="P105" i="11" s="1"/>
  <c r="P120" i="11" s="1"/>
  <c r="Q88" i="8"/>
  <c r="Q89" i="8" s="1"/>
  <c r="Q90" i="8" s="1"/>
  <c r="Q104" i="8" s="1"/>
  <c r="V94" i="10"/>
  <c r="V95" i="10" s="1"/>
  <c r="V96" i="10" s="1"/>
  <c r="V106" i="10" s="1"/>
  <c r="Q85" i="11"/>
  <c r="Q86" i="11" s="1"/>
  <c r="Q87" i="11" s="1"/>
  <c r="Q102" i="11"/>
  <c r="U97" i="8"/>
  <c r="U98" i="8" s="1"/>
  <c r="U99" i="8" s="1"/>
  <c r="U107" i="8" s="1"/>
  <c r="U121" i="8" s="1"/>
  <c r="S88" i="8"/>
  <c r="S89" i="8" s="1"/>
  <c r="S90" i="8" s="1"/>
  <c r="S104" i="8" s="1"/>
  <c r="O97" i="9"/>
  <c r="O98" i="9" s="1"/>
  <c r="O99" i="9" s="1"/>
  <c r="O107" i="9" s="1"/>
  <c r="O121" i="9" s="1"/>
  <c r="U94" i="10"/>
  <c r="U95" i="10" s="1"/>
  <c r="U96" i="10" s="1"/>
  <c r="U106" i="10" s="1"/>
  <c r="P85" i="9"/>
  <c r="P86" i="9" s="1"/>
  <c r="P87" i="9" s="1"/>
  <c r="P102" i="9"/>
  <c r="O85" i="10"/>
  <c r="O86" i="10" s="1"/>
  <c r="O87" i="10" s="1"/>
  <c r="O102" i="10"/>
  <c r="Y97" i="2"/>
  <c r="Y98" i="2" s="1"/>
  <c r="Y99" i="2" s="1"/>
  <c r="Y107" i="2" s="1"/>
  <c r="Y121" i="2" s="1"/>
  <c r="Y119" i="2"/>
  <c r="Y95" i="11"/>
  <c r="Y96" i="11" s="1"/>
  <c r="Y106" i="11" s="1"/>
  <c r="Y95" i="8"/>
  <c r="Y96" i="8" s="1"/>
  <c r="Y106" i="8" s="1"/>
  <c r="Y95" i="10"/>
  <c r="Y96" i="10" s="1"/>
  <c r="Y106" i="10" s="1"/>
  <c r="Y92" i="9"/>
  <c r="Y93" i="9" s="1"/>
  <c r="Y105" i="9" s="1"/>
  <c r="Y120" i="9" s="1"/>
  <c r="W92" i="8"/>
  <c r="W93" i="8" s="1"/>
  <c r="W105" i="8" s="1"/>
  <c r="W120" i="8" s="1"/>
  <c r="Y92" i="8"/>
  <c r="Y93" i="8" s="1"/>
  <c r="Y91" i="2"/>
  <c r="Y89" i="10"/>
  <c r="Y90" i="10" s="1"/>
  <c r="Y89" i="11"/>
  <c r="Y90" i="11" s="1"/>
  <c r="Y89" i="9"/>
  <c r="Y90" i="9" s="1"/>
  <c r="Y86" i="2"/>
  <c r="Y87" i="2" s="1"/>
  <c r="Y102" i="2" s="1"/>
  <c r="O93" i="2"/>
  <c r="O105" i="2" s="1"/>
  <c r="O120" i="2" s="1"/>
  <c r="K130" i="1"/>
  <c r="K131" i="1" s="1"/>
  <c r="Y107" i="10"/>
  <c r="Y121" i="10" s="1"/>
  <c r="Z85" i="10"/>
  <c r="Z86" i="10" s="1"/>
  <c r="Z87" i="10" s="1"/>
  <c r="Z88" i="10"/>
  <c r="Z89" i="10" s="1"/>
  <c r="Z90" i="10" s="1"/>
  <c r="Z97" i="10"/>
  <c r="Z98" i="10" s="1"/>
  <c r="Z99" i="10" s="1"/>
  <c r="X105" i="8"/>
  <c r="X120" i="8" s="1"/>
  <c r="W106" i="9"/>
  <c r="X107" i="9"/>
  <c r="X121" i="9" s="1"/>
  <c r="Z91" i="11"/>
  <c r="Z92" i="11" s="1"/>
  <c r="Z93" i="11" s="1"/>
  <c r="Z94" i="11"/>
  <c r="Z88" i="11"/>
  <c r="Z89" i="11" s="1"/>
  <c r="Z90" i="11" s="1"/>
  <c r="Y107" i="8"/>
  <c r="Y121" i="8" s="1"/>
  <c r="X106" i="10"/>
  <c r="W107" i="10"/>
  <c r="W121" i="10" s="1"/>
  <c r="Y102" i="9"/>
  <c r="X106" i="8"/>
  <c r="X105" i="9"/>
  <c r="X120" i="9" s="1"/>
  <c r="X102" i="11"/>
  <c r="Z94" i="2"/>
  <c r="Z88" i="8"/>
  <c r="Z89" i="8" s="1"/>
  <c r="Z90" i="8" s="1"/>
  <c r="Z91" i="8"/>
  <c r="Z92" i="8" s="1"/>
  <c r="Z93" i="8" s="1"/>
  <c r="Z94" i="8"/>
  <c r="Z95" i="8" s="1"/>
  <c r="Z96" i="8" s="1"/>
  <c r="Y102" i="8"/>
  <c r="Y107" i="9"/>
  <c r="Y121" i="9" s="1"/>
  <c r="Z88" i="9"/>
  <c r="Z89" i="9" s="1"/>
  <c r="Z90" i="9" s="1"/>
  <c r="Z85" i="9"/>
  <c r="Z97" i="9"/>
  <c r="Z98" i="9" s="1"/>
  <c r="Z99" i="9" s="1"/>
  <c r="X102" i="9"/>
  <c r="Y105" i="11"/>
  <c r="Y120" i="11" s="1"/>
  <c r="Y105" i="10"/>
  <c r="Y120" i="10" s="1"/>
  <c r="Y107" i="11"/>
  <c r="Y121" i="11" s="1"/>
  <c r="O37" i="11"/>
  <c r="U17" i="11"/>
  <c r="O51" i="11"/>
  <c r="O37" i="10"/>
  <c r="O51" i="8"/>
  <c r="U17" i="8"/>
  <c r="U37" i="8"/>
  <c r="O49" i="8"/>
  <c r="O37" i="2"/>
  <c r="O104" i="2"/>
  <c r="W104" i="2"/>
  <c r="R107" i="2"/>
  <c r="R121" i="2" s="1"/>
  <c r="R104" i="2"/>
  <c r="S104" i="2"/>
  <c r="P107" i="2"/>
  <c r="P121" i="2" s="1"/>
  <c r="U17" i="2"/>
  <c r="O51" i="2"/>
  <c r="Q102" i="2"/>
  <c r="Q106" i="2"/>
  <c r="X106" i="2"/>
  <c r="R106" i="2"/>
  <c r="T105" i="2"/>
  <c r="T120" i="2" s="1"/>
  <c r="P105" i="2"/>
  <c r="P120" i="2" s="1"/>
  <c r="W105" i="2"/>
  <c r="W120" i="2" s="1"/>
  <c r="J130" i="1"/>
  <c r="V16" i="1"/>
  <c r="O50" i="8" l="1"/>
  <c r="O27" i="11"/>
  <c r="U27" i="11" s="1"/>
  <c r="O27" i="10"/>
  <c r="V2" i="1"/>
  <c r="U2" i="10"/>
  <c r="U146" i="10" s="1"/>
  <c r="U2" i="11"/>
  <c r="U146" i="11" s="1"/>
  <c r="U2" i="9"/>
  <c r="U146" i="9" s="1"/>
  <c r="U2" i="8"/>
  <c r="U146" i="8" s="1"/>
  <c r="U2" i="7"/>
  <c r="U8" i="7" s="1"/>
  <c r="U2" i="2"/>
  <c r="U146" i="2" s="1"/>
  <c r="O27" i="9"/>
  <c r="Z97" i="2"/>
  <c r="Z98" i="2" s="1"/>
  <c r="Z99" i="2" s="1"/>
  <c r="Z107" i="2" s="1"/>
  <c r="Z121" i="2" s="1"/>
  <c r="Z119" i="2"/>
  <c r="O27" i="2"/>
  <c r="U27" i="2" s="1"/>
  <c r="Z95" i="9"/>
  <c r="Z96" i="9" s="1"/>
  <c r="Z95" i="2"/>
  <c r="Z96" i="2" s="1"/>
  <c r="Z106" i="2" s="1"/>
  <c r="Z95" i="11"/>
  <c r="Z96" i="11" s="1"/>
  <c r="Z106" i="11" s="1"/>
  <c r="Y92" i="2"/>
  <c r="Y93" i="2" s="1"/>
  <c r="Y105" i="2" s="1"/>
  <c r="Y120" i="2" s="1"/>
  <c r="Z91" i="2"/>
  <c r="Y104" i="11"/>
  <c r="Y119" i="11"/>
  <c r="Z89" i="2"/>
  <c r="Z90" i="2" s="1"/>
  <c r="Z85" i="2"/>
  <c r="Z86" i="9"/>
  <c r="Z87" i="9" s="1"/>
  <c r="Z86" i="11"/>
  <c r="Z87" i="11" s="1"/>
  <c r="Z102" i="11" s="1"/>
  <c r="O50" i="2"/>
  <c r="Z106" i="10"/>
  <c r="Z107" i="11"/>
  <c r="Z121" i="11" s="1"/>
  <c r="Z107" i="10"/>
  <c r="Z121" i="10" s="1"/>
  <c r="Z102" i="10"/>
  <c r="Z105" i="8"/>
  <c r="Z120" i="8" s="1"/>
  <c r="Z105" i="9"/>
  <c r="Z120" i="9" s="1"/>
  <c r="Z107" i="9"/>
  <c r="Z121" i="9" s="1"/>
  <c r="Y104" i="9"/>
  <c r="Y119" i="9"/>
  <c r="X119" i="11"/>
  <c r="X104" i="11"/>
  <c r="X119" i="10"/>
  <c r="X104" i="10"/>
  <c r="X104" i="8"/>
  <c r="X119" i="8"/>
  <c r="X104" i="9"/>
  <c r="X119" i="9"/>
  <c r="W104" i="10"/>
  <c r="W119" i="10"/>
  <c r="Y106" i="9"/>
  <c r="Y102" i="11"/>
  <c r="Y105" i="8"/>
  <c r="Y120" i="8" s="1"/>
  <c r="Y102" i="10"/>
  <c r="Y106" i="2"/>
  <c r="Z106" i="8"/>
  <c r="Z105" i="10"/>
  <c r="Z120" i="10" s="1"/>
  <c r="Z107" i="8"/>
  <c r="Z121" i="8" s="1"/>
  <c r="Z102" i="8"/>
  <c r="Z105" i="11"/>
  <c r="Z120" i="11" s="1"/>
  <c r="U37" i="11"/>
  <c r="O49" i="11"/>
  <c r="U27" i="10"/>
  <c r="O50" i="10"/>
  <c r="U37" i="10"/>
  <c r="O49" i="10"/>
  <c r="T107" i="2"/>
  <c r="T121" i="2" s="1"/>
  <c r="Y104" i="2"/>
  <c r="Q104" i="2"/>
  <c r="W107" i="2"/>
  <c r="W121" i="2" s="1"/>
  <c r="X104" i="2"/>
  <c r="X107" i="2"/>
  <c r="X121" i="2" s="1"/>
  <c r="Q107" i="2"/>
  <c r="Q121" i="2" s="1"/>
  <c r="U37" i="2"/>
  <c r="O49" i="2"/>
  <c r="K132" i="1"/>
  <c r="W16" i="1"/>
  <c r="X16" i="1" s="1"/>
  <c r="Y16" i="1" s="1"/>
  <c r="Z16" i="1" s="1"/>
  <c r="K146" i="1" s="1"/>
  <c r="J131" i="1"/>
  <c r="K139" i="1"/>
  <c r="K92" i="1" l="1"/>
  <c r="K140" i="1"/>
  <c r="T22" i="1"/>
  <c r="T135" i="8" s="1"/>
  <c r="T136" i="8" s="1"/>
  <c r="O50" i="11"/>
  <c r="P22" i="1"/>
  <c r="P135" i="11" s="1"/>
  <c r="P136" i="11" s="1"/>
  <c r="K27" i="1"/>
  <c r="J139" i="11" s="1"/>
  <c r="K94" i="1"/>
  <c r="X22" i="1"/>
  <c r="X135" i="8" s="1"/>
  <c r="X136" i="8" s="1"/>
  <c r="K144" i="1"/>
  <c r="K158" i="1" s="1"/>
  <c r="K95" i="1"/>
  <c r="K93" i="1"/>
  <c r="K143" i="1"/>
  <c r="K157" i="1" s="1"/>
  <c r="U27" i="9"/>
  <c r="O50" i="9"/>
  <c r="W2" i="1"/>
  <c r="V2" i="11"/>
  <c r="V146" i="11" s="1"/>
  <c r="V2" i="9"/>
  <c r="V146" i="9" s="1"/>
  <c r="V2" i="8"/>
  <c r="V146" i="8" s="1"/>
  <c r="V2" i="10"/>
  <c r="V146" i="10" s="1"/>
  <c r="V2" i="7"/>
  <c r="V8" i="7" s="1"/>
  <c r="V2" i="2"/>
  <c r="V146" i="2" s="1"/>
  <c r="P135" i="10"/>
  <c r="P136" i="10" s="1"/>
  <c r="X135" i="11"/>
  <c r="X136" i="11" s="1"/>
  <c r="Z92" i="2"/>
  <c r="Z93" i="2" s="1"/>
  <c r="Z105" i="2" s="1"/>
  <c r="Z120" i="2" s="1"/>
  <c r="Z86" i="2"/>
  <c r="Z87" i="2" s="1"/>
  <c r="Z102" i="2" s="1"/>
  <c r="T135" i="9"/>
  <c r="T136" i="9" s="1"/>
  <c r="T135" i="10"/>
  <c r="T136" i="10" s="1"/>
  <c r="T135" i="11"/>
  <c r="T136" i="11" s="1"/>
  <c r="Y104" i="10"/>
  <c r="Y119" i="10"/>
  <c r="Z104" i="2"/>
  <c r="Z102" i="9"/>
  <c r="Z104" i="10"/>
  <c r="Z106" i="9"/>
  <c r="Z119" i="10"/>
  <c r="Y119" i="8"/>
  <c r="Y104" i="8"/>
  <c r="K153" i="1"/>
  <c r="T135" i="2"/>
  <c r="T136" i="2" s="1"/>
  <c r="K160" i="1"/>
  <c r="J160" i="1"/>
  <c r="J132" i="1"/>
  <c r="J153" i="1" s="1"/>
  <c r="U22" i="1"/>
  <c r="J27" i="1"/>
  <c r="K138" i="1"/>
  <c r="K141" i="1"/>
  <c r="J154" i="1"/>
  <c r="K154" i="1"/>
  <c r="K142" i="1"/>
  <c r="K96" i="1"/>
  <c r="K145" i="1"/>
  <c r="K136" i="1"/>
  <c r="K135" i="1"/>
  <c r="K97" i="1"/>
  <c r="K137" i="1"/>
  <c r="Q22" i="1"/>
  <c r="Z22" i="1"/>
  <c r="S22" i="1"/>
  <c r="V22" i="1"/>
  <c r="O22" i="1"/>
  <c r="Y22" i="1"/>
  <c r="W22" i="1"/>
  <c r="R22" i="1"/>
  <c r="X135" i="9" l="1"/>
  <c r="X136" i="9" s="1"/>
  <c r="J157" i="1"/>
  <c r="X135" i="10"/>
  <c r="X136" i="10" s="1"/>
  <c r="J107" i="1"/>
  <c r="J158" i="1"/>
  <c r="P135" i="2"/>
  <c r="P136" i="2" s="1"/>
  <c r="J139" i="2"/>
  <c r="J139" i="9"/>
  <c r="J139" i="10"/>
  <c r="X135" i="2"/>
  <c r="X136" i="2" s="1"/>
  <c r="P135" i="9"/>
  <c r="P136" i="9" s="1"/>
  <c r="P135" i="8"/>
  <c r="P136" i="8" s="1"/>
  <c r="R40" i="2"/>
  <c r="R40" i="11"/>
  <c r="R40" i="9"/>
  <c r="R40" i="8"/>
  <c r="R40" i="10"/>
  <c r="J139" i="8"/>
  <c r="X2" i="1"/>
  <c r="W2" i="9"/>
  <c r="W146" i="9" s="1"/>
  <c r="W2" i="8"/>
  <c r="W146" i="8" s="1"/>
  <c r="W2" i="10"/>
  <c r="W146" i="10" s="1"/>
  <c r="W2" i="11"/>
  <c r="W146" i="11" s="1"/>
  <c r="W2" i="7"/>
  <c r="W8" i="7" s="1"/>
  <c r="W2" i="2"/>
  <c r="W146" i="2" s="1"/>
  <c r="Z135" i="8"/>
  <c r="Z136" i="8" s="1"/>
  <c r="Z137" i="8" s="1"/>
  <c r="Z135" i="9"/>
  <c r="Z136" i="9" s="1"/>
  <c r="Z137" i="9" s="1"/>
  <c r="Z135" i="11"/>
  <c r="Z136" i="11" s="1"/>
  <c r="Z137" i="11" s="1"/>
  <c r="Z135" i="10"/>
  <c r="Z136" i="10" s="1"/>
  <c r="Z137" i="10" s="1"/>
  <c r="Q32" i="8"/>
  <c r="Q42" i="8"/>
  <c r="Q42" i="10"/>
  <c r="Q42" i="9"/>
  <c r="Q32" i="11"/>
  <c r="Q32" i="9"/>
  <c r="Q42" i="11"/>
  <c r="Q32" i="10"/>
  <c r="Y135" i="11"/>
  <c r="Y136" i="11" s="1"/>
  <c r="Y135" i="10"/>
  <c r="Y136" i="10" s="1"/>
  <c r="Y137" i="10" s="1"/>
  <c r="Y135" i="8"/>
  <c r="Y136" i="8" s="1"/>
  <c r="Y135" i="9"/>
  <c r="Y136" i="9" s="1"/>
  <c r="O135" i="9"/>
  <c r="O136" i="9" s="1"/>
  <c r="O135" i="11"/>
  <c r="O136" i="11" s="1"/>
  <c r="O135" i="10"/>
  <c r="O136" i="10" s="1"/>
  <c r="O135" i="8"/>
  <c r="O136" i="8" s="1"/>
  <c r="W135" i="11"/>
  <c r="W136" i="11" s="1"/>
  <c r="W135" i="10"/>
  <c r="W136" i="10" s="1"/>
  <c r="W137" i="10" s="1"/>
  <c r="W135" i="8"/>
  <c r="W136" i="8" s="1"/>
  <c r="W135" i="9"/>
  <c r="W136" i="9" s="1"/>
  <c r="V135" i="8"/>
  <c r="V136" i="8" s="1"/>
  <c r="V135" i="9"/>
  <c r="V136" i="9" s="1"/>
  <c r="V135" i="11"/>
  <c r="V136" i="11" s="1"/>
  <c r="V135" i="10"/>
  <c r="V136" i="10" s="1"/>
  <c r="U135" i="9"/>
  <c r="U136" i="9" s="1"/>
  <c r="U135" i="11"/>
  <c r="U136" i="11" s="1"/>
  <c r="U135" i="10"/>
  <c r="U136" i="10" s="1"/>
  <c r="U135" i="8"/>
  <c r="U136" i="8" s="1"/>
  <c r="V127" i="11"/>
  <c r="U127" i="11"/>
  <c r="P127" i="11"/>
  <c r="V127" i="10"/>
  <c r="U127" i="10"/>
  <c r="P127" i="10"/>
  <c r="Z127" i="9"/>
  <c r="Y127" i="9"/>
  <c r="T127" i="9"/>
  <c r="O127" i="9"/>
  <c r="X127" i="8"/>
  <c r="S127" i="8"/>
  <c r="Q127" i="10"/>
  <c r="U127" i="9"/>
  <c r="Y127" i="8"/>
  <c r="O127" i="8"/>
  <c r="R127" i="11"/>
  <c r="Q127" i="11"/>
  <c r="W127" i="11"/>
  <c r="R127" i="10"/>
  <c r="X127" i="11"/>
  <c r="S127" i="11"/>
  <c r="X127" i="10"/>
  <c r="S127" i="10"/>
  <c r="R127" i="9"/>
  <c r="Q127" i="9"/>
  <c r="W127" i="9"/>
  <c r="V127" i="8"/>
  <c r="U127" i="8"/>
  <c r="P127" i="8"/>
  <c r="P127" i="9"/>
  <c r="Z127" i="8"/>
  <c r="Z127" i="11"/>
  <c r="Y127" i="11"/>
  <c r="T127" i="11"/>
  <c r="O127" i="11"/>
  <c r="Z127" i="10"/>
  <c r="Y127" i="10"/>
  <c r="T127" i="10"/>
  <c r="O127" i="10"/>
  <c r="X127" i="9"/>
  <c r="S127" i="9"/>
  <c r="R127" i="8"/>
  <c r="Q127" i="8"/>
  <c r="W127" i="8"/>
  <c r="W127" i="10"/>
  <c r="V127" i="9"/>
  <c r="T127" i="8"/>
  <c r="R135" i="11"/>
  <c r="R136" i="11" s="1"/>
  <c r="R135" i="8"/>
  <c r="R136" i="8" s="1"/>
  <c r="R135" i="10"/>
  <c r="R136" i="10" s="1"/>
  <c r="R135" i="9"/>
  <c r="R136" i="9" s="1"/>
  <c r="S135" i="11"/>
  <c r="S136" i="11" s="1"/>
  <c r="S135" i="8"/>
  <c r="S136" i="8" s="1"/>
  <c r="S135" i="10"/>
  <c r="S136" i="10" s="1"/>
  <c r="S135" i="9"/>
  <c r="S136" i="9" s="1"/>
  <c r="Q135" i="8"/>
  <c r="Q135" i="9"/>
  <c r="Q135" i="10"/>
  <c r="Q135" i="11"/>
  <c r="Z119" i="8"/>
  <c r="Z104" i="8"/>
  <c r="Z104" i="9"/>
  <c r="Z119" i="9"/>
  <c r="Z104" i="11"/>
  <c r="Z119" i="11"/>
  <c r="Q44" i="9"/>
  <c r="Q34" i="9"/>
  <c r="S135" i="2"/>
  <c r="S136" i="2" s="1"/>
  <c r="Z135" i="2"/>
  <c r="Z136" i="2" s="1"/>
  <c r="Z137" i="2" s="1"/>
  <c r="O135" i="2"/>
  <c r="O136" i="2" s="1"/>
  <c r="Q135" i="2"/>
  <c r="Q136" i="2" s="1"/>
  <c r="V127" i="2"/>
  <c r="U127" i="2"/>
  <c r="O127" i="2"/>
  <c r="S127" i="2"/>
  <c r="R127" i="2"/>
  <c r="Q127" i="2"/>
  <c r="T127" i="2"/>
  <c r="X127" i="2"/>
  <c r="Z127" i="2"/>
  <c r="Y127" i="2"/>
  <c r="P127" i="2"/>
  <c r="W127" i="2"/>
  <c r="J105" i="1"/>
  <c r="W135" i="2"/>
  <c r="W136" i="2" s="1"/>
  <c r="Y135" i="2"/>
  <c r="Y136" i="2" s="1"/>
  <c r="R135" i="2"/>
  <c r="R136" i="2" s="1"/>
  <c r="V135" i="2"/>
  <c r="V136" i="2" s="1"/>
  <c r="U135" i="2"/>
  <c r="U136" i="2" s="1"/>
  <c r="Q42" i="2"/>
  <c r="Q32" i="2"/>
  <c r="K151" i="1"/>
  <c r="J151" i="1"/>
  <c r="K159" i="1"/>
  <c r="J159" i="1"/>
  <c r="J106" i="1"/>
  <c r="K149" i="1"/>
  <c r="J149" i="1"/>
  <c r="K156" i="1"/>
  <c r="J156" i="1"/>
  <c r="K106" i="1"/>
  <c r="K105" i="1"/>
  <c r="K107" i="1"/>
  <c r="J22" i="1"/>
  <c r="K150" i="1"/>
  <c r="J150" i="1"/>
  <c r="K155" i="1"/>
  <c r="J155" i="1"/>
  <c r="K152" i="1"/>
  <c r="J152" i="1"/>
  <c r="V137" i="11" l="1"/>
  <c r="W137" i="8"/>
  <c r="Y137" i="8"/>
  <c r="V40" i="9"/>
  <c r="U40" i="9"/>
  <c r="R49" i="9"/>
  <c r="V40" i="11"/>
  <c r="U40" i="11"/>
  <c r="R49" i="11"/>
  <c r="U40" i="10"/>
  <c r="V40" i="10"/>
  <c r="R49" i="10"/>
  <c r="R49" i="2"/>
  <c r="V40" i="2"/>
  <c r="U40" i="2"/>
  <c r="U40" i="8"/>
  <c r="V40" i="8"/>
  <c r="R49" i="8"/>
  <c r="S137" i="11"/>
  <c r="W137" i="11"/>
  <c r="Y137" i="11"/>
  <c r="S137" i="9"/>
  <c r="X137" i="8"/>
  <c r="V137" i="10"/>
  <c r="Y137" i="9"/>
  <c r="U137" i="10"/>
  <c r="Y2" i="1"/>
  <c r="X2" i="9"/>
  <c r="X146" i="9" s="1"/>
  <c r="X2" i="10"/>
  <c r="X146" i="10" s="1"/>
  <c r="X2" i="8"/>
  <c r="X146" i="8" s="1"/>
  <c r="X2" i="11"/>
  <c r="X146" i="11" s="1"/>
  <c r="X2" i="7"/>
  <c r="X8" i="7" s="1"/>
  <c r="X2" i="2"/>
  <c r="X146" i="2" s="1"/>
  <c r="U137" i="11"/>
  <c r="V137" i="9"/>
  <c r="S137" i="10"/>
  <c r="T137" i="10"/>
  <c r="U137" i="9"/>
  <c r="V137" i="8"/>
  <c r="S137" i="8"/>
  <c r="U137" i="8"/>
  <c r="W137" i="9"/>
  <c r="X137" i="9"/>
  <c r="R137" i="9"/>
  <c r="V32" i="10"/>
  <c r="U32" i="10"/>
  <c r="U42" i="9"/>
  <c r="V42" i="9"/>
  <c r="X137" i="11"/>
  <c r="S31" i="11"/>
  <c r="S31" i="9"/>
  <c r="S31" i="2"/>
  <c r="S31" i="10"/>
  <c r="S31" i="8"/>
  <c r="U42" i="11"/>
  <c r="V42" i="11"/>
  <c r="U42" i="10"/>
  <c r="V42" i="10"/>
  <c r="T137" i="9"/>
  <c r="U32" i="9"/>
  <c r="V32" i="9"/>
  <c r="U42" i="8"/>
  <c r="V42" i="8"/>
  <c r="X137" i="10"/>
  <c r="S41" i="11"/>
  <c r="U41" i="11" s="1"/>
  <c r="S41" i="9"/>
  <c r="V41" i="9" s="1"/>
  <c r="S41" i="2"/>
  <c r="U41" i="2" s="1"/>
  <c r="S41" i="10"/>
  <c r="V41" i="10" s="1"/>
  <c r="S41" i="8"/>
  <c r="V41" i="8" s="1"/>
  <c r="T137" i="11"/>
  <c r="V32" i="11"/>
  <c r="U32" i="11"/>
  <c r="V32" i="8"/>
  <c r="U32" i="8"/>
  <c r="T137" i="8"/>
  <c r="S49" i="10"/>
  <c r="Q136" i="11"/>
  <c r="Q136" i="10"/>
  <c r="R137" i="10"/>
  <c r="Q136" i="9"/>
  <c r="R137" i="8"/>
  <c r="R30" i="11"/>
  <c r="R30" i="8"/>
  <c r="R30" i="9"/>
  <c r="R30" i="10"/>
  <c r="Q136" i="8"/>
  <c r="R137" i="11"/>
  <c r="Y137" i="2"/>
  <c r="V34" i="11"/>
  <c r="U34" i="11"/>
  <c r="V44" i="2"/>
  <c r="U44" i="2"/>
  <c r="V44" i="9"/>
  <c r="U44" i="9"/>
  <c r="V34" i="2"/>
  <c r="U34" i="2"/>
  <c r="V34" i="9"/>
  <c r="U34" i="9"/>
  <c r="V34" i="8"/>
  <c r="U34" i="8"/>
  <c r="V34" i="10"/>
  <c r="U34" i="10"/>
  <c r="V44" i="11"/>
  <c r="U44" i="11"/>
  <c r="V44" i="10"/>
  <c r="U44" i="10"/>
  <c r="V44" i="8"/>
  <c r="U44" i="8"/>
  <c r="X137" i="2"/>
  <c r="W137" i="2"/>
  <c r="J161" i="1"/>
  <c r="P137" i="2"/>
  <c r="U32" i="2"/>
  <c r="V32" i="2"/>
  <c r="U42" i="2"/>
  <c r="V42" i="2"/>
  <c r="U137" i="2"/>
  <c r="T137" i="2"/>
  <c r="Q137" i="2"/>
  <c r="V22" i="2"/>
  <c r="U22" i="2"/>
  <c r="O137" i="2"/>
  <c r="R30" i="2"/>
  <c r="V137" i="2"/>
  <c r="R137" i="2"/>
  <c r="S137" i="2"/>
  <c r="K161" i="1"/>
  <c r="V41" i="2" l="1"/>
  <c r="U41" i="9"/>
  <c r="S49" i="2"/>
  <c r="S49" i="9"/>
  <c r="S49" i="11"/>
  <c r="S49" i="8"/>
  <c r="V41" i="11"/>
  <c r="Z2" i="1"/>
  <c r="Y2" i="10"/>
  <c r="Y146" i="10" s="1"/>
  <c r="Y2" i="11"/>
  <c r="Y146" i="11" s="1"/>
  <c r="Y2" i="8"/>
  <c r="Y146" i="8" s="1"/>
  <c r="Y2" i="9"/>
  <c r="Y146" i="9" s="1"/>
  <c r="Y2" i="7"/>
  <c r="Y8" i="7" s="1"/>
  <c r="Y2" i="2"/>
  <c r="Y146" i="2" s="1"/>
  <c r="U41" i="8"/>
  <c r="U41" i="10"/>
  <c r="U31" i="9"/>
  <c r="S50" i="9"/>
  <c r="V31" i="9"/>
  <c r="U31" i="11"/>
  <c r="S50" i="11"/>
  <c r="V31" i="11"/>
  <c r="U31" i="10"/>
  <c r="S50" i="10"/>
  <c r="V31" i="10"/>
  <c r="U31" i="8"/>
  <c r="V31" i="8"/>
  <c r="S50" i="8"/>
  <c r="V20" i="10"/>
  <c r="U20" i="10"/>
  <c r="R51" i="10"/>
  <c r="R51" i="9"/>
  <c r="U20" i="9"/>
  <c r="V20" i="9"/>
  <c r="P137" i="10"/>
  <c r="Q137" i="10"/>
  <c r="O137" i="10"/>
  <c r="R51" i="11"/>
  <c r="U20" i="11"/>
  <c r="V20" i="11"/>
  <c r="U30" i="8"/>
  <c r="V30" i="8"/>
  <c r="R50" i="8"/>
  <c r="R50" i="10"/>
  <c r="V30" i="10"/>
  <c r="U30" i="10"/>
  <c r="V20" i="8"/>
  <c r="U20" i="8"/>
  <c r="R51" i="8"/>
  <c r="Q137" i="9"/>
  <c r="P137" i="9"/>
  <c r="O137" i="9"/>
  <c r="Q137" i="8"/>
  <c r="P137" i="8"/>
  <c r="O137" i="8"/>
  <c r="R50" i="9"/>
  <c r="V30" i="9"/>
  <c r="U30" i="9"/>
  <c r="R50" i="11"/>
  <c r="U30" i="11"/>
  <c r="V30" i="11"/>
  <c r="P137" i="11"/>
  <c r="Q137" i="11"/>
  <c r="O137" i="11"/>
  <c r="Q39" i="2"/>
  <c r="Q49" i="2" s="1"/>
  <c r="Q39" i="9"/>
  <c r="Q39" i="10"/>
  <c r="Q39" i="11"/>
  <c r="Q39" i="8"/>
  <c r="Q29" i="10"/>
  <c r="Q29" i="8"/>
  <c r="Q29" i="9"/>
  <c r="Q29" i="11"/>
  <c r="S51" i="9"/>
  <c r="V21" i="9"/>
  <c r="U21" i="9"/>
  <c r="U21" i="10"/>
  <c r="V21" i="10"/>
  <c r="S51" i="10"/>
  <c r="S51" i="11"/>
  <c r="V21" i="11"/>
  <c r="U21" i="11"/>
  <c r="S51" i="8"/>
  <c r="U21" i="8"/>
  <c r="V21" i="8"/>
  <c r="U30" i="2"/>
  <c r="R50" i="2"/>
  <c r="V30" i="2"/>
  <c r="Q29" i="2"/>
  <c r="S51" i="2"/>
  <c r="V21" i="2"/>
  <c r="U21" i="2"/>
  <c r="S50" i="2"/>
  <c r="U31" i="2"/>
  <c r="V31" i="2"/>
  <c r="U20" i="2"/>
  <c r="V20" i="2"/>
  <c r="R51" i="2"/>
  <c r="J138" i="2"/>
  <c r="J140" i="2" s="1"/>
  <c r="J138" i="11" l="1"/>
  <c r="J140" i="11" s="1"/>
  <c r="V148" i="11" s="1"/>
  <c r="V18" i="7" s="1"/>
  <c r="Z2" i="11"/>
  <c r="Z146" i="11" s="1"/>
  <c r="Z2" i="9"/>
  <c r="Z146" i="9" s="1"/>
  <c r="Z2" i="8"/>
  <c r="Z146" i="8" s="1"/>
  <c r="Z2" i="10"/>
  <c r="Z146" i="10" s="1"/>
  <c r="Z2" i="7"/>
  <c r="Z8" i="7" s="1"/>
  <c r="Z2" i="2"/>
  <c r="Z146" i="2" s="1"/>
  <c r="J138" i="9"/>
  <c r="J140" i="9" s="1"/>
  <c r="Z148" i="9" s="1"/>
  <c r="Z14" i="7" s="1"/>
  <c r="J138" i="8"/>
  <c r="J140" i="8" s="1"/>
  <c r="Y148" i="8" s="1"/>
  <c r="Y12" i="7" s="1"/>
  <c r="J138" i="10"/>
  <c r="J140" i="10" s="1"/>
  <c r="U39" i="2"/>
  <c r="U49" i="2" s="1"/>
  <c r="T49" i="2" s="1"/>
  <c r="V39" i="2"/>
  <c r="V49" i="2" s="1"/>
  <c r="Z124" i="2" s="1"/>
  <c r="V19" i="8"/>
  <c r="U19" i="8"/>
  <c r="U51" i="8" s="1"/>
  <c r="Q51" i="8"/>
  <c r="Q51" i="9"/>
  <c r="V19" i="9"/>
  <c r="V51" i="9" s="1"/>
  <c r="U19" i="9"/>
  <c r="U51" i="9" s="1"/>
  <c r="Q51" i="10"/>
  <c r="U19" i="10"/>
  <c r="U51" i="10" s="1"/>
  <c r="V19" i="10"/>
  <c r="V51" i="10" s="1"/>
  <c r="V51" i="8"/>
  <c r="R126" i="8" s="1"/>
  <c r="Q51" i="11"/>
  <c r="V19" i="11"/>
  <c r="V51" i="11" s="1"/>
  <c r="U19" i="11"/>
  <c r="U51" i="11" s="1"/>
  <c r="Q50" i="9"/>
  <c r="V29" i="9"/>
  <c r="V50" i="9" s="1"/>
  <c r="U29" i="9"/>
  <c r="U50" i="9" s="1"/>
  <c r="Q49" i="11"/>
  <c r="U39" i="11"/>
  <c r="U49" i="11" s="1"/>
  <c r="V39" i="11"/>
  <c r="V49" i="11" s="1"/>
  <c r="Q50" i="8"/>
  <c r="U29" i="8"/>
  <c r="U50" i="8" s="1"/>
  <c r="V29" i="8"/>
  <c r="V50" i="8" s="1"/>
  <c r="Q49" i="10"/>
  <c r="U39" i="10"/>
  <c r="U49" i="10" s="1"/>
  <c r="V39" i="10"/>
  <c r="V49" i="10" s="1"/>
  <c r="Q50" i="10"/>
  <c r="V29" i="10"/>
  <c r="V50" i="10" s="1"/>
  <c r="U29" i="10"/>
  <c r="U50" i="10" s="1"/>
  <c r="Q49" i="9"/>
  <c r="V39" i="9"/>
  <c r="V49" i="9" s="1"/>
  <c r="U39" i="9"/>
  <c r="U49" i="9" s="1"/>
  <c r="Q50" i="11"/>
  <c r="U29" i="11"/>
  <c r="U50" i="11" s="1"/>
  <c r="V29" i="11"/>
  <c r="V50" i="11" s="1"/>
  <c r="Q49" i="8"/>
  <c r="V39" i="8"/>
  <c r="V49" i="8" s="1"/>
  <c r="U39" i="8"/>
  <c r="U49" i="8" s="1"/>
  <c r="X148" i="2"/>
  <c r="X10" i="7" s="1"/>
  <c r="W148" i="2"/>
  <c r="W10" i="7" s="1"/>
  <c r="V148" i="2"/>
  <c r="V10" i="7" s="1"/>
  <c r="P148" i="2"/>
  <c r="P10" i="7" s="1"/>
  <c r="S148" i="2"/>
  <c r="S10" i="7" s="1"/>
  <c r="Y148" i="2"/>
  <c r="Y10" i="7" s="1"/>
  <c r="Q148" i="2"/>
  <c r="Q10" i="7" s="1"/>
  <c r="Z148" i="2"/>
  <c r="Z10" i="7" s="1"/>
  <c r="T148" i="2"/>
  <c r="T10" i="7" s="1"/>
  <c r="R148" i="2"/>
  <c r="R10" i="7" s="1"/>
  <c r="U148" i="2"/>
  <c r="U10" i="7" s="1"/>
  <c r="O148" i="2"/>
  <c r="O10" i="7" s="1"/>
  <c r="V19" i="2"/>
  <c r="V51" i="2" s="1"/>
  <c r="U19" i="2"/>
  <c r="U51" i="2" s="1"/>
  <c r="Q51" i="2"/>
  <c r="U29" i="2"/>
  <c r="U50" i="2" s="1"/>
  <c r="Q50" i="2"/>
  <c r="V29" i="2"/>
  <c r="V50" i="2" s="1"/>
  <c r="O148" i="8" l="1"/>
  <c r="O12" i="7" s="1"/>
  <c r="W148" i="9"/>
  <c r="W14" i="7" s="1"/>
  <c r="V148" i="9"/>
  <c r="V14" i="7" s="1"/>
  <c r="T148" i="9"/>
  <c r="T14" i="7" s="1"/>
  <c r="Z148" i="8"/>
  <c r="Z12" i="7" s="1"/>
  <c r="Q148" i="11"/>
  <c r="Q18" i="7" s="1"/>
  <c r="S148" i="9"/>
  <c r="S14" i="7" s="1"/>
  <c r="X148" i="9"/>
  <c r="X14" i="7" s="1"/>
  <c r="Y148" i="11"/>
  <c r="Y18" i="7" s="1"/>
  <c r="P148" i="9"/>
  <c r="P14" i="7" s="1"/>
  <c r="Y148" i="9"/>
  <c r="Y14" i="7" s="1"/>
  <c r="P148" i="11"/>
  <c r="P18" i="7" s="1"/>
  <c r="S148" i="11"/>
  <c r="S18" i="7" s="1"/>
  <c r="R148" i="11"/>
  <c r="R18" i="7" s="1"/>
  <c r="T148" i="11"/>
  <c r="T18" i="7" s="1"/>
  <c r="X148" i="11"/>
  <c r="X18" i="7" s="1"/>
  <c r="O148" i="11"/>
  <c r="O18" i="7" s="1"/>
  <c r="U148" i="11"/>
  <c r="U18" i="7" s="1"/>
  <c r="W148" i="11"/>
  <c r="W18" i="7" s="1"/>
  <c r="Z148" i="11"/>
  <c r="Z18" i="7" s="1"/>
  <c r="U148" i="9"/>
  <c r="U14" i="7" s="1"/>
  <c r="O148" i="9"/>
  <c r="O14" i="7" s="1"/>
  <c r="Q148" i="8"/>
  <c r="Q12" i="7" s="1"/>
  <c r="V148" i="8"/>
  <c r="V12" i="7" s="1"/>
  <c r="T148" i="8"/>
  <c r="T12" i="7" s="1"/>
  <c r="R148" i="8"/>
  <c r="R12" i="7" s="1"/>
  <c r="R148" i="9"/>
  <c r="R14" i="7" s="1"/>
  <c r="Q148" i="9"/>
  <c r="Q14" i="7" s="1"/>
  <c r="P148" i="8"/>
  <c r="P12" i="7" s="1"/>
  <c r="X148" i="8"/>
  <c r="X12" i="7" s="1"/>
  <c r="W148" i="8"/>
  <c r="W12" i="7" s="1"/>
  <c r="U148" i="8"/>
  <c r="U12" i="7" s="1"/>
  <c r="S148" i="8"/>
  <c r="S12" i="7" s="1"/>
  <c r="Z148" i="10"/>
  <c r="Z16" i="7" s="1"/>
  <c r="U148" i="10"/>
  <c r="U16" i="7" s="1"/>
  <c r="P148" i="10"/>
  <c r="P16" i="7" s="1"/>
  <c r="V148" i="10"/>
  <c r="V16" i="7" s="1"/>
  <c r="Q148" i="10"/>
  <c r="Q16" i="7" s="1"/>
  <c r="W148" i="10"/>
  <c r="W16" i="7" s="1"/>
  <c r="S148" i="10"/>
  <c r="S16" i="7" s="1"/>
  <c r="R148" i="10"/>
  <c r="R16" i="7" s="1"/>
  <c r="X148" i="10"/>
  <c r="X16" i="7" s="1"/>
  <c r="Y148" i="10"/>
  <c r="Y16" i="7" s="1"/>
  <c r="T148" i="10"/>
  <c r="T16" i="7" s="1"/>
  <c r="O148" i="10"/>
  <c r="O16" i="7" s="1"/>
  <c r="T51" i="10"/>
  <c r="T51" i="11"/>
  <c r="T51" i="9"/>
  <c r="U126" i="8"/>
  <c r="U124" i="2"/>
  <c r="T124" i="2"/>
  <c r="S124" i="2"/>
  <c r="X124" i="2"/>
  <c r="W124" i="2"/>
  <c r="Q124" i="2"/>
  <c r="O124" i="2"/>
  <c r="Y124" i="2"/>
  <c r="V124" i="2"/>
  <c r="R124" i="2"/>
  <c r="P124" i="2"/>
  <c r="V52" i="8"/>
  <c r="T49" i="9"/>
  <c r="T49" i="11"/>
  <c r="T50" i="10"/>
  <c r="T50" i="9"/>
  <c r="S126" i="11"/>
  <c r="Y126" i="11"/>
  <c r="P126" i="11"/>
  <c r="Q126" i="11"/>
  <c r="U126" i="11"/>
  <c r="X126" i="11"/>
  <c r="Z126" i="11"/>
  <c r="O126" i="11"/>
  <c r="W126" i="11"/>
  <c r="V126" i="11"/>
  <c r="T126" i="11"/>
  <c r="R126" i="11"/>
  <c r="T126" i="8"/>
  <c r="V52" i="9"/>
  <c r="T51" i="8"/>
  <c r="Q126" i="8"/>
  <c r="V126" i="8"/>
  <c r="S126" i="8"/>
  <c r="O126" i="8"/>
  <c r="Z126" i="8"/>
  <c r="P126" i="8"/>
  <c r="X126" i="8"/>
  <c r="Y126" i="8"/>
  <c r="W126" i="8"/>
  <c r="R126" i="10"/>
  <c r="Q126" i="10"/>
  <c r="T126" i="10"/>
  <c r="V126" i="10"/>
  <c r="S126" i="10"/>
  <c r="Z126" i="10"/>
  <c r="P126" i="10"/>
  <c r="X126" i="10"/>
  <c r="Y126" i="10"/>
  <c r="U126" i="10"/>
  <c r="O126" i="10"/>
  <c r="W126" i="10"/>
  <c r="Y126" i="9"/>
  <c r="T126" i="9"/>
  <c r="P126" i="9"/>
  <c r="Q126" i="9"/>
  <c r="W126" i="9"/>
  <c r="Z126" i="9"/>
  <c r="O126" i="9"/>
  <c r="U126" i="9"/>
  <c r="X126" i="9"/>
  <c r="S126" i="9"/>
  <c r="R126" i="9"/>
  <c r="V126" i="9"/>
  <c r="U52" i="8"/>
  <c r="U52" i="11"/>
  <c r="T49" i="10"/>
  <c r="V52" i="10"/>
  <c r="V52" i="11"/>
  <c r="U52" i="10"/>
  <c r="U52" i="9"/>
  <c r="T49" i="8"/>
  <c r="T50" i="11"/>
  <c r="T124" i="10"/>
  <c r="P124" i="10"/>
  <c r="S124" i="10"/>
  <c r="W124" i="10"/>
  <c r="Y124" i="10"/>
  <c r="X124" i="10"/>
  <c r="O124" i="10"/>
  <c r="Q124" i="10"/>
  <c r="U124" i="10"/>
  <c r="R124" i="10"/>
  <c r="V124" i="10"/>
  <c r="Z124" i="10"/>
  <c r="T50" i="8"/>
  <c r="U124" i="8"/>
  <c r="O124" i="8"/>
  <c r="S124" i="8"/>
  <c r="V124" i="8"/>
  <c r="X124" i="8"/>
  <c r="Z124" i="8"/>
  <c r="T124" i="8"/>
  <c r="W124" i="8"/>
  <c r="P124" i="8"/>
  <c r="Y124" i="8"/>
  <c r="R124" i="8"/>
  <c r="Q124" i="8"/>
  <c r="Q125" i="10"/>
  <c r="O125" i="10"/>
  <c r="U125" i="10"/>
  <c r="S125" i="10"/>
  <c r="Y125" i="10"/>
  <c r="P125" i="10"/>
  <c r="W125" i="10"/>
  <c r="R125" i="10"/>
  <c r="T125" i="10"/>
  <c r="V125" i="10"/>
  <c r="X125" i="10"/>
  <c r="Z125" i="10"/>
  <c r="T124" i="11"/>
  <c r="Z124" i="11"/>
  <c r="Q124" i="11"/>
  <c r="X124" i="11"/>
  <c r="O124" i="11"/>
  <c r="U124" i="11"/>
  <c r="S124" i="11"/>
  <c r="Y124" i="11"/>
  <c r="W124" i="11"/>
  <c r="R124" i="11"/>
  <c r="P124" i="11"/>
  <c r="V124" i="11"/>
  <c r="U125" i="9"/>
  <c r="Q125" i="9"/>
  <c r="O125" i="9"/>
  <c r="P125" i="9"/>
  <c r="S125" i="9"/>
  <c r="Y125" i="9"/>
  <c r="W125" i="9"/>
  <c r="R125" i="9"/>
  <c r="T125" i="9"/>
  <c r="Z125" i="9"/>
  <c r="V125" i="9"/>
  <c r="X125" i="9"/>
  <c r="O125" i="11"/>
  <c r="U125" i="11"/>
  <c r="P125" i="11"/>
  <c r="Z125" i="11"/>
  <c r="Y125" i="11"/>
  <c r="X125" i="11"/>
  <c r="Q125" i="11"/>
  <c r="R125" i="11"/>
  <c r="V125" i="11"/>
  <c r="S125" i="11"/>
  <c r="W125" i="11"/>
  <c r="T125" i="11"/>
  <c r="V124" i="9"/>
  <c r="Q124" i="9"/>
  <c r="Y124" i="9"/>
  <c r="T124" i="9"/>
  <c r="X124" i="9"/>
  <c r="Z124" i="9"/>
  <c r="W124" i="9"/>
  <c r="W128" i="9" s="1"/>
  <c r="W147" i="9" s="1"/>
  <c r="O124" i="9"/>
  <c r="P124" i="9"/>
  <c r="S124" i="9"/>
  <c r="U124" i="9"/>
  <c r="R124" i="9"/>
  <c r="S125" i="8"/>
  <c r="Z125" i="8"/>
  <c r="O125" i="8"/>
  <c r="X125" i="8"/>
  <c r="Q125" i="8"/>
  <c r="P125" i="8"/>
  <c r="T125" i="8"/>
  <c r="R125" i="8"/>
  <c r="V125" i="8"/>
  <c r="U125" i="8"/>
  <c r="Y125" i="8"/>
  <c r="W125" i="8"/>
  <c r="Y125" i="2"/>
  <c r="P125" i="2"/>
  <c r="S125" i="2"/>
  <c r="R125" i="2"/>
  <c r="Q125" i="2"/>
  <c r="T125" i="2"/>
  <c r="W125" i="2"/>
  <c r="U125" i="2"/>
  <c r="Z125" i="2"/>
  <c r="V125" i="2"/>
  <c r="X125" i="2"/>
  <c r="O125" i="2"/>
  <c r="T50" i="2"/>
  <c r="T51" i="2"/>
  <c r="U52" i="2"/>
  <c r="V52" i="2"/>
  <c r="S126" i="2"/>
  <c r="W126" i="2"/>
  <c r="T126" i="2"/>
  <c r="Y126" i="2"/>
  <c r="P126" i="2"/>
  <c r="X126" i="2"/>
  <c r="O126" i="2"/>
  <c r="V126" i="2"/>
  <c r="Z126" i="2"/>
  <c r="Q126" i="2"/>
  <c r="U126" i="2"/>
  <c r="R126" i="2"/>
  <c r="U128" i="11" l="1"/>
  <c r="U147" i="11" s="1"/>
  <c r="U17" i="7" s="1"/>
  <c r="Z128" i="2"/>
  <c r="Z147" i="2" s="1"/>
  <c r="Z9" i="7" s="1"/>
  <c r="R128" i="8"/>
  <c r="R147" i="8" s="1"/>
  <c r="R11" i="7" s="1"/>
  <c r="R128" i="2"/>
  <c r="R147" i="2" s="1"/>
  <c r="R9" i="7" s="1"/>
  <c r="R128" i="9"/>
  <c r="R147" i="9" s="1"/>
  <c r="R13" i="7" s="1"/>
  <c r="O128" i="9"/>
  <c r="O147" i="9" s="1"/>
  <c r="O149" i="9" s="1"/>
  <c r="T128" i="9"/>
  <c r="T147" i="9" s="1"/>
  <c r="T149" i="9" s="1"/>
  <c r="S128" i="10"/>
  <c r="S147" i="10" s="1"/>
  <c r="S149" i="10" s="1"/>
  <c r="U128" i="9"/>
  <c r="U147" i="9" s="1"/>
  <c r="U13" i="7" s="1"/>
  <c r="X128" i="8"/>
  <c r="X147" i="8" s="1"/>
  <c r="X11" i="7" s="1"/>
  <c r="T128" i="11"/>
  <c r="T147" i="11" s="1"/>
  <c r="T149" i="11" s="1"/>
  <c r="R128" i="10"/>
  <c r="R147" i="10" s="1"/>
  <c r="R15" i="7" s="1"/>
  <c r="P128" i="9"/>
  <c r="P147" i="9" s="1"/>
  <c r="P13" i="7" s="1"/>
  <c r="X128" i="9"/>
  <c r="X147" i="9" s="1"/>
  <c r="X149" i="9" s="1"/>
  <c r="V128" i="11"/>
  <c r="V147" i="11" s="1"/>
  <c r="V17" i="7" s="1"/>
  <c r="O128" i="11"/>
  <c r="O147" i="11" s="1"/>
  <c r="O149" i="11" s="1"/>
  <c r="Y128" i="11"/>
  <c r="Y147" i="11" s="1"/>
  <c r="Y149" i="11" s="1"/>
  <c r="P128" i="10"/>
  <c r="P147" i="10" s="1"/>
  <c r="P15" i="7" s="1"/>
  <c r="O128" i="10"/>
  <c r="O147" i="10" s="1"/>
  <c r="O149" i="10" s="1"/>
  <c r="Y128" i="9"/>
  <c r="Y147" i="9" s="1"/>
  <c r="Y13" i="7" s="1"/>
  <c r="S128" i="9"/>
  <c r="S147" i="9" s="1"/>
  <c r="S149" i="9" s="1"/>
  <c r="Z128" i="9"/>
  <c r="Z147" i="9" s="1"/>
  <c r="Z149" i="9" s="1"/>
  <c r="Q128" i="9"/>
  <c r="Q147" i="9" s="1"/>
  <c r="Q149" i="9" s="1"/>
  <c r="V128" i="8"/>
  <c r="V147" i="8" s="1"/>
  <c r="V11" i="7" s="1"/>
  <c r="W128" i="8"/>
  <c r="W147" i="8" s="1"/>
  <c r="W11" i="7" s="1"/>
  <c r="Y128" i="8"/>
  <c r="Y147" i="8" s="1"/>
  <c r="Y11" i="7" s="1"/>
  <c r="V128" i="9"/>
  <c r="V147" i="9" s="1"/>
  <c r="V149" i="9" s="1"/>
  <c r="P128" i="11"/>
  <c r="P147" i="11" s="1"/>
  <c r="P17" i="7" s="1"/>
  <c r="S128" i="11"/>
  <c r="S147" i="11" s="1"/>
  <c r="S149" i="11" s="1"/>
  <c r="Q128" i="11"/>
  <c r="Q147" i="11" s="1"/>
  <c r="Q149" i="11" s="1"/>
  <c r="X128" i="10"/>
  <c r="X147" i="10" s="1"/>
  <c r="X149" i="10" s="1"/>
  <c r="Q128" i="8"/>
  <c r="Q147" i="8" s="1"/>
  <c r="Q149" i="8" s="1"/>
  <c r="U128" i="10"/>
  <c r="U147" i="10" s="1"/>
  <c r="U149" i="10" s="1"/>
  <c r="Y128" i="10"/>
  <c r="Y147" i="10" s="1"/>
  <c r="Y15" i="7" s="1"/>
  <c r="T128" i="10"/>
  <c r="T147" i="10" s="1"/>
  <c r="T149" i="10" s="1"/>
  <c r="U128" i="8"/>
  <c r="U147" i="8" s="1"/>
  <c r="U149" i="8" s="1"/>
  <c r="P128" i="8"/>
  <c r="P147" i="8" s="1"/>
  <c r="P11" i="7" s="1"/>
  <c r="X128" i="11"/>
  <c r="X147" i="11" s="1"/>
  <c r="X149" i="11" s="1"/>
  <c r="R128" i="11"/>
  <c r="R147" i="11" s="1"/>
  <c r="R17" i="7" s="1"/>
  <c r="Z128" i="11"/>
  <c r="Z147" i="11" s="1"/>
  <c r="Z17" i="7" s="1"/>
  <c r="T128" i="8"/>
  <c r="T147" i="8" s="1"/>
  <c r="T149" i="8" s="1"/>
  <c r="S128" i="8"/>
  <c r="S147" i="8" s="1"/>
  <c r="S149" i="8" s="1"/>
  <c r="Z128" i="10"/>
  <c r="Z147" i="10" s="1"/>
  <c r="Z149" i="10" s="1"/>
  <c r="Q128" i="10"/>
  <c r="Q147" i="10" s="1"/>
  <c r="Q15" i="7" s="1"/>
  <c r="W128" i="10"/>
  <c r="W147" i="10" s="1"/>
  <c r="W15" i="7" s="1"/>
  <c r="W128" i="11"/>
  <c r="W147" i="11" s="1"/>
  <c r="W17" i="7" s="1"/>
  <c r="Z128" i="8"/>
  <c r="Z147" i="8" s="1"/>
  <c r="Z11" i="7" s="1"/>
  <c r="O128" i="8"/>
  <c r="O147" i="8" s="1"/>
  <c r="O11" i="7" s="1"/>
  <c r="V128" i="10"/>
  <c r="V147" i="10" s="1"/>
  <c r="V149" i="10" s="1"/>
  <c r="W13" i="7"/>
  <c r="W149" i="9"/>
  <c r="T128" i="2"/>
  <c r="T147" i="2" s="1"/>
  <c r="T149" i="2" s="1"/>
  <c r="S128" i="2"/>
  <c r="S147" i="2" s="1"/>
  <c r="S9" i="7" s="1"/>
  <c r="P128" i="2"/>
  <c r="P147" i="2" s="1"/>
  <c r="P149" i="2" s="1"/>
  <c r="U128" i="2"/>
  <c r="U147" i="2" s="1"/>
  <c r="U9" i="7" s="1"/>
  <c r="O128" i="2"/>
  <c r="O147" i="2" s="1"/>
  <c r="O149" i="2" s="1"/>
  <c r="X128" i="2"/>
  <c r="X147" i="2" s="1"/>
  <c r="X149" i="2" s="1"/>
  <c r="Q128" i="2"/>
  <c r="Q147" i="2" s="1"/>
  <c r="Q9" i="7" s="1"/>
  <c r="Y128" i="2"/>
  <c r="Y147" i="2" s="1"/>
  <c r="Y149" i="2" s="1"/>
  <c r="V128" i="2"/>
  <c r="V147" i="2" s="1"/>
  <c r="V9" i="7" s="1"/>
  <c r="W128" i="2"/>
  <c r="W147" i="2" s="1"/>
  <c r="W149" i="2" s="1"/>
  <c r="U149" i="11" l="1"/>
  <c r="R149" i="9"/>
  <c r="Z149" i="2"/>
  <c r="P149" i="9"/>
  <c r="R149" i="2"/>
  <c r="R149" i="10"/>
  <c r="P149" i="11"/>
  <c r="U149" i="9"/>
  <c r="Y17" i="7"/>
  <c r="S15" i="7"/>
  <c r="Y149" i="9"/>
  <c r="O13" i="7"/>
  <c r="Y149" i="8"/>
  <c r="R149" i="8"/>
  <c r="X149" i="8"/>
  <c r="T17" i="7"/>
  <c r="O149" i="8"/>
  <c r="V149" i="8"/>
  <c r="Z149" i="8"/>
  <c r="V149" i="11"/>
  <c r="T13" i="7"/>
  <c r="T15" i="7"/>
  <c r="Z15" i="7"/>
  <c r="Q149" i="10"/>
  <c r="X13" i="7"/>
  <c r="S11" i="7"/>
  <c r="R149" i="11"/>
  <c r="Q17" i="7"/>
  <c r="S17" i="7"/>
  <c r="W149" i="11"/>
  <c r="X17" i="7"/>
  <c r="O17" i="7"/>
  <c r="Z149" i="11"/>
  <c r="O15" i="7"/>
  <c r="P149" i="10"/>
  <c r="Y149" i="10"/>
  <c r="U15" i="7"/>
  <c r="V15" i="7"/>
  <c r="X15" i="7"/>
  <c r="W149" i="10"/>
  <c r="V13" i="7"/>
  <c r="S13" i="7"/>
  <c r="Z13" i="7"/>
  <c r="Q13" i="7"/>
  <c r="W149" i="8"/>
  <c r="U11" i="7"/>
  <c r="P149" i="8"/>
  <c r="Q11" i="7"/>
  <c r="T11" i="7"/>
  <c r="T9" i="7"/>
  <c r="P9" i="7"/>
  <c r="U149" i="2"/>
  <c r="O9" i="7"/>
  <c r="S149" i="2"/>
  <c r="Y9" i="7"/>
  <c r="V149" i="2"/>
  <c r="Q149" i="2"/>
  <c r="X9" i="7"/>
  <c r="W9" i="7"/>
</calcChain>
</file>

<file path=xl/sharedStrings.xml><?xml version="1.0" encoding="utf-8"?>
<sst xmlns="http://schemas.openxmlformats.org/spreadsheetml/2006/main" count="676" uniqueCount="201">
  <si>
    <t>General inputs, timing and costs</t>
  </si>
  <si>
    <t>General inputs</t>
  </si>
  <si>
    <t>Company</t>
  </si>
  <si>
    <t>Title</t>
  </si>
  <si>
    <t>Model start &amp; timeline</t>
  </si>
  <si>
    <t>Real WACC</t>
  </si>
  <si>
    <t>Asset Life (years)</t>
  </si>
  <si>
    <t>Inflation</t>
  </si>
  <si>
    <t>Year</t>
  </si>
  <si>
    <t>Nominal escalation index to June $2021</t>
  </si>
  <si>
    <t>Capex</t>
  </si>
  <si>
    <t>Capex ($2021)</t>
  </si>
  <si>
    <t>Opex</t>
  </si>
  <si>
    <t>Pre-replacement</t>
  </si>
  <si>
    <t>Post-replacement</t>
  </si>
  <si>
    <t>Opex ($2021)</t>
  </si>
  <si>
    <t>Scenario manager</t>
  </si>
  <si>
    <t>Sensitivity bounds</t>
  </si>
  <si>
    <t>Bound</t>
  </si>
  <si>
    <t>Lower</t>
  </si>
  <si>
    <t>Central</t>
  </si>
  <si>
    <t>Upper</t>
  </si>
  <si>
    <t>PoF</t>
  </si>
  <si>
    <t>Demand</t>
  </si>
  <si>
    <t>VCR</t>
  </si>
  <si>
    <t>Environment</t>
  </si>
  <si>
    <t>Scenario selection</t>
  </si>
  <si>
    <t>Element</t>
  </si>
  <si>
    <t>Base case</t>
  </si>
  <si>
    <t>A</t>
  </si>
  <si>
    <t>B</t>
  </si>
  <si>
    <t>C</t>
  </si>
  <si>
    <t>D</t>
  </si>
  <si>
    <t>Scenario output</t>
  </si>
  <si>
    <t>Network assumptions</t>
  </si>
  <si>
    <t>Probability of failure (PoF)</t>
  </si>
  <si>
    <t>Failure mode</t>
  </si>
  <si>
    <t>Failure code</t>
  </si>
  <si>
    <t>Significant</t>
  </si>
  <si>
    <t>Major</t>
  </si>
  <si>
    <t>Catastrophic</t>
  </si>
  <si>
    <t>Value of customer reliability (VCR)</t>
  </si>
  <si>
    <t>Sector</t>
  </si>
  <si>
    <t>MWh</t>
  </si>
  <si>
    <t>Load Duration</t>
  </si>
  <si>
    <t xml:space="preserve">Residential </t>
  </si>
  <si>
    <t>Agricultural</t>
  </si>
  <si>
    <t>Commercial</t>
  </si>
  <si>
    <t>Industrial</t>
  </si>
  <si>
    <t>Total</t>
  </si>
  <si>
    <t>Asset information</t>
  </si>
  <si>
    <t>Assets at risk</t>
  </si>
  <si>
    <t>N-rating, MVA</t>
  </si>
  <si>
    <t>N-1 Rating before transfers, MVA</t>
  </si>
  <si>
    <t>N-2 Rating before transfers, MVA</t>
  </si>
  <si>
    <t>N-3 Rating before transfers, MVA</t>
  </si>
  <si>
    <t>N-4 Rating before transfers, MVA</t>
  </si>
  <si>
    <t>Transfer capacity, MVA</t>
  </si>
  <si>
    <t>Environmental assumptions</t>
  </si>
  <si>
    <t>Environmental consequence</t>
  </si>
  <si>
    <t>Settings</t>
  </si>
  <si>
    <t>Real $2019</t>
  </si>
  <si>
    <t>Real $2021</t>
  </si>
  <si>
    <t>Value Consequence Loss Oil / litre</t>
  </si>
  <si>
    <t>Value Consequence Loss SF6/Kg</t>
  </si>
  <si>
    <t>Value Consequence Fire</t>
  </si>
  <si>
    <t>Value Consequence Waste / tonne</t>
  </si>
  <si>
    <t>Value Consequence Disturbance</t>
  </si>
  <si>
    <t>Value Fire brigade attendance</t>
  </si>
  <si>
    <t>Failure Mode</t>
  </si>
  <si>
    <t>Average Consequence Loss Oil</t>
  </si>
  <si>
    <t>Average Consequences Loss SF6 kgs</t>
  </si>
  <si>
    <t>Average Consequence Fire</t>
  </si>
  <si>
    <t>Average Consequence Waste</t>
  </si>
  <si>
    <t>Average Consequence Disturbance</t>
  </si>
  <si>
    <t>Average Cost of Fault (Air Insulated)</t>
  </si>
  <si>
    <t>Average Cost of Fault (SF6 Insulated)</t>
  </si>
  <si>
    <t>Average Cost of Fault (Oil Insulated)</t>
  </si>
  <si>
    <t>Generation assumptions</t>
  </si>
  <si>
    <t>Generation requirements</t>
  </si>
  <si>
    <t>Generator detail</t>
  </si>
  <si>
    <t>Generator capacity, MVA</t>
  </si>
  <si>
    <t>Generators per site</t>
  </si>
  <si>
    <t>Step-up transformer capacity</t>
  </si>
  <si>
    <t>Number of transformers required per site</t>
  </si>
  <si>
    <t>Generator sites connected per day</t>
  </si>
  <si>
    <t>Fuel usage / MWh in Litres</t>
  </si>
  <si>
    <t>Days in week</t>
  </si>
  <si>
    <t>Setup, persons required</t>
  </si>
  <si>
    <t>Setup, hours employed per day</t>
  </si>
  <si>
    <t>Hours per day</t>
  </si>
  <si>
    <t>Generator detail by failure mode</t>
  </si>
  <si>
    <t>Switching time only (hours required)</t>
  </si>
  <si>
    <t>Number of weeks generation required</t>
  </si>
  <si>
    <t>Max demand load net of transfers, MVA</t>
  </si>
  <si>
    <t>Number of generators</t>
  </si>
  <si>
    <t>Generator sites</t>
  </si>
  <si>
    <t>Number of days to connect all generators</t>
  </si>
  <si>
    <t>Generation costs</t>
  </si>
  <si>
    <t>Generator hire per week</t>
  </si>
  <si>
    <t>Fuel cost $ per litre including delivery</t>
  </si>
  <si>
    <t>Fitter cost (blended 24hr rate) $ per hr</t>
  </si>
  <si>
    <t>Traffic management and security per site</t>
  </si>
  <si>
    <t>Transformer hire per week</t>
  </si>
  <si>
    <t>Earthing and bunding per site</t>
  </si>
  <si>
    <t>Temporary fencing per site per week</t>
  </si>
  <si>
    <t>Miscellaneous material per site</t>
  </si>
  <si>
    <t>Install and remove step down transformers per site</t>
  </si>
  <si>
    <t>Council permits per site</t>
  </si>
  <si>
    <t>Crane hire to install / remove generators per site</t>
  </si>
  <si>
    <t>Cable hire per site</t>
  </si>
  <si>
    <t>Generation costs by failure mode</t>
  </si>
  <si>
    <t>Generator hire</t>
  </si>
  <si>
    <t>Fuel cost</t>
  </si>
  <si>
    <t>Fitter cost</t>
  </si>
  <si>
    <t>Traffic management cost</t>
  </si>
  <si>
    <t>Transformer hire</t>
  </si>
  <si>
    <t>Earthing and bunding</t>
  </si>
  <si>
    <t>Temporary fencing</t>
  </si>
  <si>
    <t>Miscellaneous materials</t>
  </si>
  <si>
    <t>Installation &amp; removal of step-down transformers</t>
  </si>
  <si>
    <t>Council permits</t>
  </si>
  <si>
    <t>Crane hire</t>
  </si>
  <si>
    <t>Cable hire</t>
  </si>
  <si>
    <t>Safety assumptions</t>
  </si>
  <si>
    <t>Safety consequence</t>
  </si>
  <si>
    <t>Value of consquence</t>
  </si>
  <si>
    <t>Base Value ($2018)</t>
  </si>
  <si>
    <t>Disproportion Factor</t>
  </si>
  <si>
    <t>Reference Value ($2021)</t>
  </si>
  <si>
    <t>Minor</t>
  </si>
  <si>
    <t>Serious</t>
  </si>
  <si>
    <t>Fataility</t>
  </si>
  <si>
    <t>Probability of event, by failure mode</t>
  </si>
  <si>
    <t>Value of event</t>
  </si>
  <si>
    <t>Weighted likelyhood of consequence</t>
  </si>
  <si>
    <t>Base Case PoE, Load and VCR assumptions</t>
  </si>
  <si>
    <t>Probability of exceedance (PoE) forecast, Mega Volt Ampere (MVA)</t>
  </si>
  <si>
    <t>PoE forecast</t>
  </si>
  <si>
    <t>Selected</t>
  </si>
  <si>
    <t>Load at risk</t>
  </si>
  <si>
    <t>N</t>
  </si>
  <si>
    <t>N-1</t>
  </si>
  <si>
    <t>N-2</t>
  </si>
  <si>
    <t>N-3</t>
  </si>
  <si>
    <t>N-4</t>
  </si>
  <si>
    <t>Selected profile, MVA</t>
  </si>
  <si>
    <t>End</t>
  </si>
  <si>
    <t>Consequence calculation</t>
  </si>
  <si>
    <t>Scenario</t>
  </si>
  <si>
    <t>Risk</t>
  </si>
  <si>
    <t>Description</t>
  </si>
  <si>
    <t>Network Performance</t>
  </si>
  <si>
    <t>Safety</t>
  </si>
  <si>
    <t>OPEX</t>
  </si>
  <si>
    <t>CAPEX</t>
  </si>
  <si>
    <t>Likelihood of consequence</t>
  </si>
  <si>
    <t>Consequence incl. network performance</t>
  </si>
  <si>
    <t>Consequence ex. network performance</t>
  </si>
  <si>
    <t>Fire brigade attendance</t>
  </si>
  <si>
    <t>Disruption to adjacent residential and commercial customers</t>
  </si>
  <si>
    <t>[Spare]</t>
  </si>
  <si>
    <t>Coincident outage risk</t>
  </si>
  <si>
    <t>Subtotal</t>
  </si>
  <si>
    <t>VCR at risk</t>
  </si>
  <si>
    <t>Average load at risk (pu)</t>
  </si>
  <si>
    <t>Unserved energy day 1</t>
  </si>
  <si>
    <t>Unserved energy day 2</t>
  </si>
  <si>
    <t>Selected profile, VCR at risk</t>
  </si>
  <si>
    <t>Risk cost calculation</t>
  </si>
  <si>
    <t>Risk table forecast</t>
  </si>
  <si>
    <t>Risk costs</t>
  </si>
  <si>
    <t>Other significant risks</t>
  </si>
  <si>
    <t>Other major risks</t>
  </si>
  <si>
    <t>Other catastrophic risls</t>
  </si>
  <si>
    <t>Annual opex, pre-replacement</t>
  </si>
  <si>
    <t>Annualised cost</t>
  </si>
  <si>
    <t>Annualised cost calculation</t>
  </si>
  <si>
    <t>PMT calculation</t>
  </si>
  <si>
    <t>Real WACC, reverse counter</t>
  </si>
  <si>
    <t>Real WACC, reverse discount factor index</t>
  </si>
  <si>
    <t>Annualised capex</t>
  </si>
  <si>
    <t>Post-replacement opex</t>
  </si>
  <si>
    <t>Total annuity</t>
  </si>
  <si>
    <t>Risk cost vs annualised cost</t>
  </si>
  <si>
    <t>Risks vs benefits</t>
  </si>
  <si>
    <t>Risk cost</t>
  </si>
  <si>
    <t>Feasible ?</t>
  </si>
  <si>
    <t>Charts</t>
  </si>
  <si>
    <t>Network Performance - Coincidental outage</t>
  </si>
  <si>
    <t>Days to connect generators, plus 1 day lead time</t>
  </si>
  <si>
    <t>Adjustment</t>
  </si>
  <si>
    <t>B Switchboard Risk Monetisation Model</t>
  </si>
  <si>
    <t>Weighted VCR
$/MWh ($2018)</t>
  </si>
  <si>
    <t>Load Duration Adjusted VCR $/MWh ($2021)</t>
  </si>
  <si>
    <t>Sections lost</t>
  </si>
  <si>
    <t>Total Sections</t>
  </si>
  <si>
    <t>CitiPower</t>
  </si>
  <si>
    <t>Unserved energy</t>
  </si>
  <si>
    <t>Temporary generators and associated costs</t>
  </si>
  <si>
    <t>Cost of replacement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</si>
</sst>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\(#,##0\);\-\-_)"/>
    <numFmt numFmtId="165" formatCode="#,##0.0%;[Red]\(#,##0.0%\);\-\-\%"/>
    <numFmt numFmtId="166" formatCode="#,##0;[Red]\(#,##0\);\-\-"/>
    <numFmt numFmtId="167" formatCode="0.0%"/>
  </numFmts>
  <fonts count="15" x14ac:knownFonts="1">
    <font>
      <sz val="10"/>
      <color theme="1"/>
      <name val="Verdana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indexed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sz val="10"/>
      <color rgb="FF00B050"/>
      <name val="Arial"/>
      <family val="2"/>
    </font>
    <font>
      <b/>
      <i/>
      <sz val="10"/>
      <color theme="1"/>
      <name val="Arial"/>
      <family val="2"/>
    </font>
    <font>
      <sz val="10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2" borderId="0"/>
    <xf numFmtId="164" fontId="5" fillId="2" borderId="0"/>
  </cellStyleXfs>
  <cellXfs count="145">
    <xf numFmtId="0" fontId="0" fillId="0" borderId="0" xfId="0"/>
    <xf numFmtId="164" fontId="2" fillId="3" borderId="0" xfId="1" applyFont="1" applyFill="1"/>
    <xf numFmtId="164" fontId="3" fillId="3" borderId="0" xfId="1" applyFont="1" applyFill="1"/>
    <xf numFmtId="164" fontId="4" fillId="3" borderId="0" xfId="1" applyFont="1" applyFill="1"/>
    <xf numFmtId="164" fontId="2" fillId="3" borderId="0" xfId="2" applyFont="1" applyFill="1"/>
    <xf numFmtId="164" fontId="3" fillId="3" borderId="0" xfId="2" applyFont="1" applyFill="1"/>
    <xf numFmtId="164" fontId="4" fillId="3" borderId="0" xfId="2" applyFont="1" applyFill="1"/>
    <xf numFmtId="0" fontId="2" fillId="3" borderId="0" xfId="2" applyNumberFormat="1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9" fillId="2" borderId="0" xfId="2" applyFont="1"/>
    <xf numFmtId="164" fontId="10" fillId="2" borderId="0" xfId="2" applyFont="1"/>
    <xf numFmtId="164" fontId="11" fillId="2" borderId="0" xfId="2" applyFont="1"/>
    <xf numFmtId="0" fontId="8" fillId="4" borderId="1" xfId="0" applyFont="1" applyFill="1" applyBorder="1"/>
    <xf numFmtId="165" fontId="8" fillId="4" borderId="1" xfId="0" applyNumberFormat="1" applyFont="1" applyFill="1" applyBorder="1"/>
    <xf numFmtId="0" fontId="8" fillId="5" borderId="1" xfId="0" applyNumberFormat="1" applyFont="1" applyFill="1" applyBorder="1"/>
    <xf numFmtId="166" fontId="8" fillId="0" borderId="1" xfId="0" applyNumberFormat="1" applyFont="1" applyBorder="1"/>
    <xf numFmtId="166" fontId="8" fillId="4" borderId="1" xfId="0" applyNumberFormat="1" applyFont="1" applyFill="1" applyBorder="1"/>
    <xf numFmtId="166" fontId="8" fillId="0" borderId="1" xfId="0" applyNumberFormat="1" applyFont="1" applyFill="1" applyBorder="1"/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3" xfId="0" applyFont="1" applyFill="1" applyBorder="1"/>
    <xf numFmtId="0" fontId="8" fillId="4" borderId="4" xfId="0" applyFont="1" applyFill="1" applyBorder="1"/>
    <xf numFmtId="165" fontId="8" fillId="4" borderId="1" xfId="0" applyNumberFormat="1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8" fillId="0" borderId="5" xfId="0" applyFont="1" applyBorder="1"/>
    <xf numFmtId="0" fontId="8" fillId="5" borderId="1" xfId="0" applyFont="1" applyFill="1" applyBorder="1"/>
    <xf numFmtId="0" fontId="8" fillId="0" borderId="0" xfId="0" applyFont="1" applyAlignment="1">
      <alignment wrapText="1"/>
    </xf>
    <xf numFmtId="166" fontId="8" fillId="0" borderId="0" xfId="0" applyNumberFormat="1" applyFont="1"/>
    <xf numFmtId="167" fontId="8" fillId="0" borderId="0" xfId="0" applyNumberFormat="1" applyFont="1" applyFill="1"/>
    <xf numFmtId="166" fontId="8" fillId="0" borderId="0" xfId="0" applyNumberFormat="1" applyFont="1" applyFill="1"/>
    <xf numFmtId="0" fontId="8" fillId="0" borderId="1" xfId="0" applyFont="1" applyFill="1" applyBorder="1" applyAlignment="1">
      <alignment horizontal="center"/>
    </xf>
    <xf numFmtId="166" fontId="8" fillId="0" borderId="6" xfId="0" applyNumberFormat="1" applyFont="1" applyFill="1" applyBorder="1"/>
    <xf numFmtId="0" fontId="8" fillId="0" borderId="0" xfId="0" applyFont="1" applyAlignment="1">
      <alignment horizontal="center"/>
    </xf>
    <xf numFmtId="165" fontId="8" fillId="0" borderId="1" xfId="0" applyNumberFormat="1" applyFont="1" applyFill="1" applyBorder="1" applyAlignment="1">
      <alignment horizontal="right"/>
    </xf>
    <xf numFmtId="165" fontId="8" fillId="5" borderId="1" xfId="0" applyNumberFormat="1" applyFont="1" applyFill="1" applyBorder="1"/>
    <xf numFmtId="165" fontId="8" fillId="4" borderId="6" xfId="0" applyNumberFormat="1" applyFont="1" applyFill="1" applyBorder="1"/>
    <xf numFmtId="164" fontId="2" fillId="3" borderId="0" xfId="1" applyFont="1" applyFill="1" applyProtection="1">
      <protection locked="0"/>
    </xf>
    <xf numFmtId="164" fontId="3" fillId="3" borderId="0" xfId="1" applyFont="1" applyFill="1" applyProtection="1">
      <protection locked="0"/>
    </xf>
    <xf numFmtId="164" fontId="4" fillId="3" borderId="0" xfId="1" applyFont="1" applyFill="1" applyProtection="1">
      <protection locked="0"/>
    </xf>
    <xf numFmtId="0" fontId="0" fillId="0" borderId="0" xfId="0" applyProtection="1">
      <protection locked="0"/>
    </xf>
    <xf numFmtId="164" fontId="2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64" fontId="4" fillId="3" borderId="0" xfId="2" applyFont="1" applyFill="1" applyProtection="1">
      <protection locked="0"/>
    </xf>
    <xf numFmtId="0" fontId="2" fillId="3" borderId="0" xfId="2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2" borderId="0" xfId="2" applyFont="1" applyProtection="1">
      <protection locked="0"/>
    </xf>
    <xf numFmtId="164" fontId="10" fillId="2" borderId="0" xfId="2" applyFont="1" applyProtection="1">
      <protection locked="0"/>
    </xf>
    <xf numFmtId="164" fontId="11" fillId="2" borderId="0" xfId="2" applyFont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65" fontId="8" fillId="0" borderId="1" xfId="0" applyNumberFormat="1" applyFon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6" fillId="0" borderId="10" xfId="0" applyFont="1" applyBorder="1" applyAlignment="1" applyProtection="1">
      <alignment wrapText="1"/>
      <protection locked="0"/>
    </xf>
    <xf numFmtId="0" fontId="8" fillId="5" borderId="11" xfId="0" applyFont="1" applyFill="1" applyBorder="1" applyAlignment="1" applyProtection="1">
      <alignment horizontal="left"/>
      <protection locked="0"/>
    </xf>
    <xf numFmtId="166" fontId="8" fillId="0" borderId="11" xfId="0" applyNumberFormat="1" applyFont="1" applyFill="1" applyBorder="1" applyProtection="1">
      <protection locked="0"/>
    </xf>
    <xf numFmtId="166" fontId="8" fillId="4" borderId="6" xfId="0" applyNumberFormat="1" applyFont="1" applyFill="1" applyBorder="1" applyProtection="1">
      <protection locked="0"/>
    </xf>
    <xf numFmtId="166" fontId="8" fillId="4" borderId="12" xfId="0" applyNumberFormat="1" applyFont="1" applyFill="1" applyBorder="1" applyProtection="1">
      <protection locked="0"/>
    </xf>
    <xf numFmtId="165" fontId="8" fillId="4" borderId="14" xfId="0" applyNumberFormat="1" applyFont="1" applyFill="1" applyBorder="1" applyAlignment="1" applyProtection="1">
      <alignment horizontal="center"/>
      <protection locked="0"/>
    </xf>
    <xf numFmtId="166" fontId="8" fillId="0" borderId="15" xfId="0" applyNumberFormat="1" applyFont="1" applyFill="1" applyBorder="1" applyProtection="1"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166" fontId="8" fillId="5" borderId="16" xfId="0" applyNumberFormat="1" applyFont="1" applyFill="1" applyBorder="1" applyProtection="1">
      <protection locked="0"/>
    </xf>
    <xf numFmtId="166" fontId="8" fillId="0" borderId="1" xfId="0" applyNumberFormat="1" applyFont="1" applyFill="1" applyBorder="1" applyProtection="1">
      <protection locked="0"/>
    </xf>
    <xf numFmtId="166" fontId="8" fillId="4" borderId="1" xfId="0" applyNumberFormat="1" applyFont="1" applyFill="1" applyBorder="1" applyProtection="1">
      <protection locked="0"/>
    </xf>
    <xf numFmtId="166" fontId="8" fillId="4" borderId="2" xfId="0" applyNumberFormat="1" applyFont="1" applyFill="1" applyBorder="1" applyProtection="1">
      <protection locked="0"/>
    </xf>
    <xf numFmtId="165" fontId="8" fillId="0" borderId="17" xfId="0" applyNumberFormat="1" applyFont="1" applyFill="1" applyBorder="1" applyAlignment="1" applyProtection="1">
      <alignment horizontal="center"/>
      <protection locked="0"/>
    </xf>
    <xf numFmtId="166" fontId="8" fillId="0" borderId="16" xfId="0" applyNumberFormat="1" applyFont="1" applyFill="1" applyBorder="1" applyProtection="1">
      <protection locked="0"/>
    </xf>
    <xf numFmtId="166" fontId="8" fillId="0" borderId="18" xfId="0" applyNumberFormat="1" applyFont="1" applyFill="1" applyBorder="1" applyProtection="1">
      <protection locked="0"/>
    </xf>
    <xf numFmtId="165" fontId="8" fillId="4" borderId="17" xfId="0" applyNumberFormat="1" applyFont="1" applyFill="1" applyBorder="1" applyAlignment="1" applyProtection="1">
      <alignment horizontal="center"/>
      <protection locked="0"/>
    </xf>
    <xf numFmtId="166" fontId="8" fillId="0" borderId="2" xfId="0" applyNumberFormat="1" applyFont="1" applyFill="1" applyBorder="1" applyProtection="1"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166" fontId="8" fillId="5" borderId="19" xfId="0" applyNumberFormat="1" applyFont="1" applyFill="1" applyBorder="1" applyProtection="1">
      <protection locked="0"/>
    </xf>
    <xf numFmtId="166" fontId="8" fillId="4" borderId="20" xfId="0" applyNumberFormat="1" applyFont="1" applyFill="1" applyBorder="1" applyProtection="1">
      <protection locked="0"/>
    </xf>
    <xf numFmtId="166" fontId="8" fillId="4" borderId="21" xfId="0" applyNumberFormat="1" applyFont="1" applyFill="1" applyBorder="1" applyProtection="1">
      <protection locked="0"/>
    </xf>
    <xf numFmtId="165" fontId="8" fillId="4" borderId="24" xfId="0" applyNumberFormat="1" applyFont="1" applyFill="1" applyBorder="1" applyAlignment="1" applyProtection="1">
      <alignment horizontal="center"/>
      <protection locked="0"/>
    </xf>
    <xf numFmtId="166" fontId="8" fillId="0" borderId="19" xfId="0" applyNumberFormat="1" applyFont="1" applyFill="1" applyBorder="1" applyProtection="1">
      <protection locked="0"/>
    </xf>
    <xf numFmtId="166" fontId="8" fillId="0" borderId="25" xfId="0" applyNumberFormat="1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Protection="1">
      <protection locked="0"/>
    </xf>
    <xf numFmtId="0" fontId="8" fillId="0" borderId="5" xfId="0" applyFont="1" applyBorder="1" applyProtection="1">
      <protection locked="0"/>
    </xf>
    <xf numFmtId="166" fontId="8" fillId="0" borderId="6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5" fontId="8" fillId="5" borderId="1" xfId="0" applyNumberFormat="1" applyFont="1" applyFill="1" applyBorder="1" applyProtection="1">
      <protection locked="0"/>
    </xf>
    <xf numFmtId="165" fontId="8" fillId="5" borderId="6" xfId="0" applyNumberFormat="1" applyFont="1" applyFill="1" applyBorder="1" applyProtection="1">
      <protection locked="0"/>
    </xf>
    <xf numFmtId="0" fontId="13" fillId="0" borderId="0" xfId="0" applyFont="1" applyProtection="1">
      <protection locked="0"/>
    </xf>
    <xf numFmtId="166" fontId="13" fillId="0" borderId="6" xfId="0" applyNumberFormat="1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5" xfId="0" applyFont="1" applyFill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" xfId="0" applyNumberFormat="1" applyFont="1" applyFill="1" applyBorder="1" applyAlignment="1" applyProtection="1">
      <alignment horizontal="right"/>
      <protection locked="0"/>
    </xf>
    <xf numFmtId="0" fontId="8" fillId="4" borderId="6" xfId="0" applyFont="1" applyFill="1" applyBorder="1" applyProtection="1"/>
    <xf numFmtId="0" fontId="8" fillId="4" borderId="12" xfId="0" applyFont="1" applyFill="1" applyBorder="1" applyProtection="1"/>
    <xf numFmtId="0" fontId="8" fillId="4" borderId="5" xfId="0" applyFont="1" applyFill="1" applyBorder="1" applyProtection="1"/>
    <xf numFmtId="0" fontId="8" fillId="4" borderId="13" xfId="0" applyFont="1" applyFill="1" applyBorder="1" applyProtection="1"/>
    <xf numFmtId="0" fontId="8" fillId="4" borderId="1" xfId="0" applyFont="1" applyFill="1" applyBorder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20" xfId="0" applyFont="1" applyFill="1" applyBorder="1" applyProtection="1"/>
    <xf numFmtId="0" fontId="8" fillId="4" borderId="21" xfId="0" applyFont="1" applyFill="1" applyBorder="1" applyProtection="1"/>
    <xf numFmtId="0" fontId="8" fillId="4" borderId="22" xfId="0" applyFont="1" applyFill="1" applyBorder="1" applyProtection="1"/>
    <xf numFmtId="0" fontId="8" fillId="4" borderId="23" xfId="0" applyFont="1" applyFill="1" applyBorder="1" applyProtection="1"/>
    <xf numFmtId="0" fontId="8" fillId="5" borderId="6" xfId="0" applyFont="1" applyFill="1" applyBorder="1" applyProtection="1"/>
    <xf numFmtId="0" fontId="8" fillId="5" borderId="12" xfId="0" applyFont="1" applyFill="1" applyBorder="1" applyProtection="1"/>
    <xf numFmtId="0" fontId="8" fillId="5" borderId="5" xfId="0" applyFont="1" applyFill="1" applyBorder="1" applyProtection="1"/>
    <xf numFmtId="0" fontId="8" fillId="5" borderId="13" xfId="0" applyFont="1" applyFill="1" applyBorder="1" applyProtection="1"/>
    <xf numFmtId="166" fontId="8" fillId="5" borderId="11" xfId="0" applyNumberFormat="1" applyFont="1" applyFill="1" applyBorder="1" applyProtection="1">
      <protection locked="0"/>
    </xf>
    <xf numFmtId="166" fontId="8" fillId="5" borderId="6" xfId="0" applyNumberFormat="1" applyFont="1" applyFill="1" applyBorder="1" applyProtection="1">
      <protection locked="0"/>
    </xf>
    <xf numFmtId="166" fontId="8" fillId="5" borderId="12" xfId="0" applyNumberFormat="1" applyFont="1" applyFill="1" applyBorder="1" applyProtection="1">
      <protection locked="0"/>
    </xf>
    <xf numFmtId="165" fontId="8" fillId="5" borderId="14" xfId="0" applyNumberFormat="1" applyFont="1" applyFill="1" applyBorder="1" applyAlignment="1" applyProtection="1">
      <alignment horizontal="center"/>
      <protection locked="0"/>
    </xf>
    <xf numFmtId="0" fontId="8" fillId="5" borderId="1" xfId="0" applyFont="1" applyFill="1" applyBorder="1" applyProtection="1"/>
    <xf numFmtId="0" fontId="8" fillId="5" borderId="2" xfId="0" applyFont="1" applyFill="1" applyBorder="1" applyProtection="1"/>
    <xf numFmtId="0" fontId="8" fillId="5" borderId="3" xfId="0" applyFont="1" applyFill="1" applyBorder="1" applyProtection="1"/>
    <xf numFmtId="0" fontId="8" fillId="5" borderId="4" xfId="0" applyFont="1" applyFill="1" applyBorder="1" applyProtection="1"/>
    <xf numFmtId="166" fontId="8" fillId="5" borderId="1" xfId="0" applyNumberFormat="1" applyFont="1" applyFill="1" applyBorder="1" applyProtection="1">
      <protection locked="0"/>
    </xf>
    <xf numFmtId="166" fontId="8" fillId="5" borderId="2" xfId="0" applyNumberFormat="1" applyFont="1" applyFill="1" applyBorder="1" applyProtection="1">
      <protection locked="0"/>
    </xf>
    <xf numFmtId="165" fontId="8" fillId="5" borderId="17" xfId="0" applyNumberFormat="1" applyFont="1" applyFill="1" applyBorder="1" applyAlignment="1" applyProtection="1">
      <alignment horizontal="center"/>
      <protection locked="0"/>
    </xf>
    <xf numFmtId="0" fontId="8" fillId="5" borderId="20" xfId="0" applyFont="1" applyFill="1" applyBorder="1" applyProtection="1"/>
    <xf numFmtId="0" fontId="8" fillId="5" borderId="21" xfId="0" applyFont="1" applyFill="1" applyBorder="1" applyProtection="1"/>
    <xf numFmtId="0" fontId="8" fillId="5" borderId="22" xfId="0" applyFont="1" applyFill="1" applyBorder="1" applyProtection="1"/>
    <xf numFmtId="0" fontId="8" fillId="5" borderId="23" xfId="0" applyFont="1" applyFill="1" applyBorder="1" applyProtection="1"/>
    <xf numFmtId="166" fontId="8" fillId="5" borderId="20" xfId="0" applyNumberFormat="1" applyFont="1" applyFill="1" applyBorder="1" applyProtection="1">
      <protection locked="0"/>
    </xf>
    <xf numFmtId="166" fontId="8" fillId="5" borderId="21" xfId="0" applyNumberFormat="1" applyFont="1" applyFill="1" applyBorder="1" applyProtection="1">
      <protection locked="0"/>
    </xf>
    <xf numFmtId="165" fontId="8" fillId="5" borderId="24" xfId="0" applyNumberFormat="1" applyFont="1" applyFill="1" applyBorder="1" applyAlignment="1" applyProtection="1">
      <alignment horizontal="center"/>
      <protection locked="0"/>
    </xf>
    <xf numFmtId="0" fontId="8" fillId="5" borderId="3" xfId="0" applyFont="1" applyFill="1" applyBorder="1"/>
    <xf numFmtId="0" fontId="8" fillId="5" borderId="4" xfId="0" applyFont="1" applyFill="1" applyBorder="1"/>
    <xf numFmtId="0" fontId="8" fillId="0" borderId="5" xfId="0" applyFont="1" applyFill="1" applyBorder="1"/>
    <xf numFmtId="0" fontId="8" fillId="5" borderId="2" xfId="0" applyFont="1" applyFill="1" applyBorder="1"/>
    <xf numFmtId="166" fontId="12" fillId="0" borderId="1" xfId="0" applyNumberFormat="1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166" fontId="13" fillId="0" borderId="6" xfId="0" applyNumberFormat="1" applyFont="1" applyFill="1" applyBorder="1" applyProtection="1">
      <protection locked="0"/>
    </xf>
    <xf numFmtId="166" fontId="14" fillId="5" borderId="1" xfId="0" applyNumberFormat="1" applyFont="1" applyFill="1" applyBorder="1"/>
    <xf numFmtId="0" fontId="8" fillId="0" borderId="0" xfId="0" applyFont="1" applyAlignment="1">
      <alignment horizontal="right"/>
    </xf>
    <xf numFmtId="165" fontId="8" fillId="0" borderId="14" xfId="0" applyNumberFormat="1" applyFont="1" applyFill="1" applyBorder="1" applyAlignment="1" applyProtection="1">
      <alignment horizontal="center"/>
      <protection locked="0"/>
    </xf>
    <xf numFmtId="165" fontId="8" fillId="0" borderId="24" xfId="0" applyNumberFormat="1" applyFont="1" applyFill="1" applyBorder="1" applyAlignment="1" applyProtection="1">
      <alignment horizontal="center"/>
      <protection locked="0"/>
    </xf>
  </cellXfs>
  <cellStyles count="3">
    <cellStyle name="Header1" xfId="1"/>
    <cellStyle name="Header1A" xfId="2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Summary!$D$9:$I$9</c:f>
              <c:strCache>
                <c:ptCount val="1"/>
                <c:pt idx="0">
                  <c:v>Risk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Summary!$O$9:$Z$9</c:f>
              <c:numCache>
                <c:formatCode>#,##0;[Red]\(#,##0\);\-\-</c:formatCode>
                <c:ptCount val="12"/>
                <c:pt idx="0">
                  <c:v>324632.01063571544</c:v>
                </c:pt>
                <c:pt idx="1">
                  <c:v>345691.2496026135</c:v>
                </c:pt>
                <c:pt idx="2">
                  <c:v>366320.89890207618</c:v>
                </c:pt>
                <c:pt idx="3">
                  <c:v>394382.29887987924</c:v>
                </c:pt>
                <c:pt idx="4">
                  <c:v>422675.32745856495</c:v>
                </c:pt>
                <c:pt idx="5">
                  <c:v>462413.83715508849</c:v>
                </c:pt>
                <c:pt idx="6">
                  <c:v>505689.47671769629</c:v>
                </c:pt>
                <c:pt idx="7">
                  <c:v>540617.42988593923</c:v>
                </c:pt>
                <c:pt idx="8">
                  <c:v>578465.49668916245</c:v>
                </c:pt>
                <c:pt idx="9">
                  <c:v>619488.66341360856</c:v>
                </c:pt>
                <c:pt idx="10">
                  <c:v>663964.77276828652</c:v>
                </c:pt>
                <c:pt idx="11">
                  <c:v>711896.46504641429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761-47D8-AF8D-F2967D518B64}"/>
            </c:ext>
          </c:extLst>
        </c:ser>
        <c:ser>
          <c:idx val="1"/>
          <c:order val="1"/>
          <c:tx>
            <c:strRef>
              <c:f>Summary!$D$10:$I$10</c:f>
              <c:strCache>
                <c:ptCount val="1"/>
                <c:pt idx="0">
                  <c:v>Annualised cost Scenario Base case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Summary!$O$10:$Z$10</c:f>
              <c:numCache>
                <c:formatCode>#,##0;[Red]\(#,##0\);\-\-</c:formatCode>
                <c:ptCount val="12"/>
                <c:pt idx="0">
                  <c:v>335937.4352249534</c:v>
                </c:pt>
                <c:pt idx="1">
                  <c:v>335937.4352249534</c:v>
                </c:pt>
                <c:pt idx="2">
                  <c:v>335937.4352249534</c:v>
                </c:pt>
                <c:pt idx="3">
                  <c:v>335937.4352249534</c:v>
                </c:pt>
                <c:pt idx="4">
                  <c:v>335937.4352249534</c:v>
                </c:pt>
                <c:pt idx="5">
                  <c:v>335937.4352249534</c:v>
                </c:pt>
                <c:pt idx="6">
                  <c:v>335937.4352249534</c:v>
                </c:pt>
                <c:pt idx="7">
                  <c:v>335937.4352249534</c:v>
                </c:pt>
                <c:pt idx="8">
                  <c:v>335937.4352249534</c:v>
                </c:pt>
                <c:pt idx="9">
                  <c:v>335937.4352249534</c:v>
                </c:pt>
                <c:pt idx="10">
                  <c:v>335937.4352249534</c:v>
                </c:pt>
                <c:pt idx="11">
                  <c:v>335937.4352249534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61-47D8-AF8D-F2967D518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42272"/>
        <c:axId val="51585408"/>
      </c:lineChart>
      <c:catAx>
        <c:axId val="5154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585408"/>
        <c:crosses val="autoZero"/>
        <c:auto val="1"/>
        <c:lblAlgn val="ctr"/>
        <c:lblOffset val="100"/>
        <c:noMultiLvlLbl val="0"/>
      </c:catAx>
      <c:valAx>
        <c:axId val="5158540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5154227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Summary!$D$11:$I$11</c:f>
              <c:strCache>
                <c:ptCount val="1"/>
                <c:pt idx="0">
                  <c:v>Risk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Summary!$O$11:$Z$11</c:f>
              <c:numCache>
                <c:formatCode>#,##0;[Red]\(#,##0\);\-\-</c:formatCode>
                <c:ptCount val="12"/>
                <c:pt idx="0">
                  <c:v>290015.8269842685</c:v>
                </c:pt>
                <c:pt idx="1">
                  <c:v>308013.78676478146</c:v>
                </c:pt>
                <c:pt idx="2">
                  <c:v>325827.71588388016</c:v>
                </c:pt>
                <c:pt idx="3">
                  <c:v>349519.53266456921</c:v>
                </c:pt>
                <c:pt idx="4">
                  <c:v>373562.48085056536</c:v>
                </c:pt>
                <c:pt idx="5">
                  <c:v>406600.57991959399</c:v>
                </c:pt>
                <c:pt idx="6">
                  <c:v>442564.64667649264</c:v>
                </c:pt>
                <c:pt idx="7">
                  <c:v>472327.06224979367</c:v>
                </c:pt>
                <c:pt idx="8">
                  <c:v>504577.73229099659</c:v>
                </c:pt>
                <c:pt idx="9">
                  <c:v>539533.93285346997</c:v>
                </c:pt>
                <c:pt idx="10">
                  <c:v>577432.41614910867</c:v>
                </c:pt>
                <c:pt idx="11">
                  <c:v>618275.43199494644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C15-4CAD-9C55-5C675C375582}"/>
            </c:ext>
          </c:extLst>
        </c:ser>
        <c:ser>
          <c:idx val="1"/>
          <c:order val="1"/>
          <c:tx>
            <c:strRef>
              <c:f>Summary!$D$12:$I$12</c:f>
              <c:strCache>
                <c:ptCount val="1"/>
                <c:pt idx="0">
                  <c:v>Annualised cost Scenario A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Summary!$O$12:$Z$12</c:f>
              <c:numCache>
                <c:formatCode>#,##0;[Red]\(#,##0\);\-\-</c:formatCode>
                <c:ptCount val="12"/>
                <c:pt idx="0">
                  <c:v>369531.17874744878</c:v>
                </c:pt>
                <c:pt idx="1">
                  <c:v>369531.17874744878</c:v>
                </c:pt>
                <c:pt idx="2">
                  <c:v>369531.17874744878</c:v>
                </c:pt>
                <c:pt idx="3">
                  <c:v>369531.17874744878</c:v>
                </c:pt>
                <c:pt idx="4">
                  <c:v>369531.17874744878</c:v>
                </c:pt>
                <c:pt idx="5">
                  <c:v>369531.17874744878</c:v>
                </c:pt>
                <c:pt idx="6">
                  <c:v>369531.17874744878</c:v>
                </c:pt>
                <c:pt idx="7">
                  <c:v>369531.17874744878</c:v>
                </c:pt>
                <c:pt idx="8">
                  <c:v>369531.17874744878</c:v>
                </c:pt>
                <c:pt idx="9">
                  <c:v>369531.17874744878</c:v>
                </c:pt>
                <c:pt idx="10">
                  <c:v>369531.17874744878</c:v>
                </c:pt>
                <c:pt idx="11">
                  <c:v>369531.17874744878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15-4CAD-9C55-5C675C375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621184"/>
        <c:axId val="232622720"/>
      </c:lineChart>
      <c:catAx>
        <c:axId val="23262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2622720"/>
        <c:crosses val="autoZero"/>
        <c:auto val="1"/>
        <c:lblAlgn val="ctr"/>
        <c:lblOffset val="100"/>
        <c:noMultiLvlLbl val="0"/>
      </c:catAx>
      <c:valAx>
        <c:axId val="23262272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232621184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Summary!$D$13:$I$13</c:f>
              <c:strCache>
                <c:ptCount val="1"/>
                <c:pt idx="0">
                  <c:v>Risk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Summary!$O$13:$Z$13</c:f>
              <c:numCache>
                <c:formatCode>#,##0;[Red]\(#,##0\);\-\-</c:formatCode>
                <c:ptCount val="12"/>
                <c:pt idx="0">
                  <c:v>256204.35005322349</c:v>
                </c:pt>
                <c:pt idx="1">
                  <c:v>272428.37594746624</c:v>
                </c:pt>
                <c:pt idx="2">
                  <c:v>288323.38075486897</c:v>
                </c:pt>
                <c:pt idx="3">
                  <c:v>309938.79916779546</c:v>
                </c:pt>
                <c:pt idx="4">
                  <c:v>331734.28238457505</c:v>
                </c:pt>
                <c:pt idx="5">
                  <c:v>362339.04796721478</c:v>
                </c:pt>
                <c:pt idx="6">
                  <c:v>395667.79176202498</c:v>
                </c:pt>
                <c:pt idx="7">
                  <c:v>422575.33515401959</c:v>
                </c:pt>
                <c:pt idx="8">
                  <c:v>451732.45452214754</c:v>
                </c:pt>
                <c:pt idx="9">
                  <c:v>483335.58435337647</c:v>
                </c:pt>
                <c:pt idx="10">
                  <c:v>517598.76709997363</c:v>
                </c:pt>
                <c:pt idx="11">
                  <c:v>554524.03677189071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D5C-455B-9A23-69B80BB4C81F}"/>
            </c:ext>
          </c:extLst>
        </c:ser>
        <c:ser>
          <c:idx val="1"/>
          <c:order val="1"/>
          <c:tx>
            <c:strRef>
              <c:f>Summary!$D$14:$I$14</c:f>
              <c:strCache>
                <c:ptCount val="1"/>
                <c:pt idx="0">
                  <c:v>Annualised cost Scenario B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Summary!$O$14:$Z$14</c:f>
              <c:numCache>
                <c:formatCode>#,##0;[Red]\(#,##0\);\-\-</c:formatCode>
                <c:ptCount val="12"/>
                <c:pt idx="0">
                  <c:v>302343.69170245808</c:v>
                </c:pt>
                <c:pt idx="1">
                  <c:v>302343.69170245808</c:v>
                </c:pt>
                <c:pt idx="2">
                  <c:v>302343.69170245808</c:v>
                </c:pt>
                <c:pt idx="3">
                  <c:v>302343.69170245808</c:v>
                </c:pt>
                <c:pt idx="4">
                  <c:v>302343.69170245808</c:v>
                </c:pt>
                <c:pt idx="5">
                  <c:v>302343.69170245808</c:v>
                </c:pt>
                <c:pt idx="6">
                  <c:v>302343.69170245808</c:v>
                </c:pt>
                <c:pt idx="7">
                  <c:v>302343.69170245808</c:v>
                </c:pt>
                <c:pt idx="8">
                  <c:v>302343.69170245808</c:v>
                </c:pt>
                <c:pt idx="9">
                  <c:v>302343.69170245808</c:v>
                </c:pt>
                <c:pt idx="10">
                  <c:v>302343.69170245808</c:v>
                </c:pt>
                <c:pt idx="11">
                  <c:v>302343.69170245808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5C-455B-9A23-69B80BB4C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289984"/>
        <c:axId val="359215872"/>
      </c:lineChart>
      <c:catAx>
        <c:axId val="34128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9215872"/>
        <c:crosses val="autoZero"/>
        <c:auto val="1"/>
        <c:lblAlgn val="ctr"/>
        <c:lblOffset val="100"/>
        <c:noMultiLvlLbl val="0"/>
      </c:catAx>
      <c:valAx>
        <c:axId val="359215872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41289984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Summary!$D$15:$I$15</c:f>
              <c:strCache>
                <c:ptCount val="1"/>
                <c:pt idx="0">
                  <c:v>Risk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Summary!$O$15:$Z$15</c:f>
              <c:numCache>
                <c:formatCode>#,##0;[Red]\(#,##0\);\-\-</c:formatCode>
                <c:ptCount val="12"/>
                <c:pt idx="0">
                  <c:v>404046.76766449725</c:v>
                </c:pt>
                <c:pt idx="1">
                  <c:v>430775.13059301872</c:v>
                </c:pt>
                <c:pt idx="2">
                  <c:v>456955.46032727021</c:v>
                </c:pt>
                <c:pt idx="3">
                  <c:v>492575.39695442806</c:v>
                </c:pt>
                <c:pt idx="4">
                  <c:v>528486.9754246556</c:v>
                </c:pt>
                <c:pt idx="5">
                  <c:v>578937.16673038725</c:v>
                </c:pt>
                <c:pt idx="6">
                  <c:v>633878.16160197952</c:v>
                </c:pt>
                <c:pt idx="7">
                  <c:v>678210.02975277184</c:v>
                </c:pt>
                <c:pt idx="8">
                  <c:v>726248.21564934566</c:v>
                </c:pt>
                <c:pt idx="9">
                  <c:v>778316.35744958313</c:v>
                </c:pt>
                <c:pt idx="10">
                  <c:v>834767.10354038246</c:v>
                </c:pt>
                <c:pt idx="11">
                  <c:v>895603.80508092151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C89-4F59-A1E2-BE85A0084054}"/>
            </c:ext>
          </c:extLst>
        </c:ser>
        <c:ser>
          <c:idx val="1"/>
          <c:order val="1"/>
          <c:tx>
            <c:strRef>
              <c:f>Summary!$D$16:$I$16</c:f>
              <c:strCache>
                <c:ptCount val="1"/>
                <c:pt idx="0">
                  <c:v>Annualised cost Scenario C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Summary!$O$16:$Z$16</c:f>
              <c:numCache>
                <c:formatCode>#,##0;[Red]\(#,##0\);\-\-</c:formatCode>
                <c:ptCount val="12"/>
                <c:pt idx="0">
                  <c:v>369531.17874744878</c:v>
                </c:pt>
                <c:pt idx="1">
                  <c:v>369531.17874744878</c:v>
                </c:pt>
                <c:pt idx="2">
                  <c:v>369531.17874744878</c:v>
                </c:pt>
                <c:pt idx="3">
                  <c:v>369531.17874744878</c:v>
                </c:pt>
                <c:pt idx="4">
                  <c:v>369531.17874744878</c:v>
                </c:pt>
                <c:pt idx="5">
                  <c:v>369531.17874744878</c:v>
                </c:pt>
                <c:pt idx="6">
                  <c:v>369531.17874744878</c:v>
                </c:pt>
                <c:pt idx="7">
                  <c:v>369531.17874744878</c:v>
                </c:pt>
                <c:pt idx="8">
                  <c:v>369531.17874744878</c:v>
                </c:pt>
                <c:pt idx="9">
                  <c:v>369531.17874744878</c:v>
                </c:pt>
                <c:pt idx="10">
                  <c:v>369531.17874744878</c:v>
                </c:pt>
                <c:pt idx="11">
                  <c:v>369531.17874744878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C89-4F59-A1E2-BE85A0084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730432"/>
        <c:axId val="361731968"/>
      </c:lineChart>
      <c:catAx>
        <c:axId val="36173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1731968"/>
        <c:crosses val="autoZero"/>
        <c:auto val="1"/>
        <c:lblAlgn val="ctr"/>
        <c:lblOffset val="100"/>
        <c:noMultiLvlLbl val="0"/>
      </c:catAx>
      <c:valAx>
        <c:axId val="361731968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361730432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Summary!$D$17:$I$17</c:f>
              <c:strCache>
                <c:ptCount val="1"/>
                <c:pt idx="0">
                  <c:v>Risk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Summary!$O$17:$Z$17</c:f>
              <c:numCache>
                <c:formatCode>#,##0;[Red]\(#,##0\);\-\-</c:formatCode>
                <c:ptCount val="12"/>
                <c:pt idx="0">
                  <c:v>364812.54695133213</c:v>
                </c:pt>
                <c:pt idx="1">
                  <c:v>389372.76846330124</c:v>
                </c:pt>
                <c:pt idx="2">
                  <c:v>413207.74626103521</c:v>
                </c:pt>
                <c:pt idx="3">
                  <c:v>446289.86266092776</c:v>
                </c:pt>
                <c:pt idx="4">
                  <c:v>479454.53950211289</c:v>
                </c:pt>
                <c:pt idx="5">
                  <c:v>526930.65654670249</c:v>
                </c:pt>
                <c:pt idx="6">
                  <c:v>578650.70113129774</c:v>
                </c:pt>
                <c:pt idx="7">
                  <c:v>619493.28106049343</c:v>
                </c:pt>
                <c:pt idx="8">
                  <c:v>663750.46057886444</c:v>
                </c:pt>
                <c:pt idx="9">
                  <c:v>711720.40481869201</c:v>
                </c:pt>
                <c:pt idx="10">
                  <c:v>763728.00579399616</c:v>
                </c:pt>
                <c:pt idx="11">
                  <c:v>819776.35089974315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77C-47EC-AD87-78AB543209EE}"/>
            </c:ext>
          </c:extLst>
        </c:ser>
        <c:ser>
          <c:idx val="1"/>
          <c:order val="1"/>
          <c:tx>
            <c:strRef>
              <c:f>Summary!$D$18:$I$18</c:f>
              <c:strCache>
                <c:ptCount val="1"/>
                <c:pt idx="0">
                  <c:v>Annualised cost Scenario D</c:v>
                </c:pt>
              </c:strCache>
            </c:strRef>
          </c:tx>
          <c:marker>
            <c:symbol val="none"/>
          </c:marker>
          <c:cat>
            <c:numRef>
              <c:f>Summary!$O$8:$Z$8</c:f>
              <c:numCache>
                <c:formatCode>General</c:formatCode>
                <c:ptCount val="12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  <c:pt idx="7">
                  <c:v>2026</c:v>
                </c:pt>
                <c:pt idx="8">
                  <c:v>2027</c:v>
                </c:pt>
                <c:pt idx="9">
                  <c:v>2028</c:v>
                </c:pt>
                <c:pt idx="10">
                  <c:v>2029</c:v>
                </c:pt>
                <c:pt idx="11">
                  <c:v>2030</c:v>
                </c:pt>
              </c:numCache>
            </c:numRef>
          </c:cat>
          <c:val>
            <c:numRef>
              <c:f>Summary!$O$18:$Z$18</c:f>
              <c:numCache>
                <c:formatCode>#,##0;[Red]\(#,##0\);\-\-</c:formatCode>
                <c:ptCount val="12"/>
                <c:pt idx="0">
                  <c:v>302343.69170245808</c:v>
                </c:pt>
                <c:pt idx="1">
                  <c:v>302343.69170245808</c:v>
                </c:pt>
                <c:pt idx="2">
                  <c:v>302343.69170245808</c:v>
                </c:pt>
                <c:pt idx="3">
                  <c:v>302343.69170245808</c:v>
                </c:pt>
                <c:pt idx="4">
                  <c:v>302343.69170245808</c:v>
                </c:pt>
                <c:pt idx="5">
                  <c:v>302343.69170245808</c:v>
                </c:pt>
                <c:pt idx="6">
                  <c:v>302343.69170245808</c:v>
                </c:pt>
                <c:pt idx="7">
                  <c:v>302343.69170245808</c:v>
                </c:pt>
                <c:pt idx="8">
                  <c:v>302343.69170245808</c:v>
                </c:pt>
                <c:pt idx="9">
                  <c:v>302343.69170245808</c:v>
                </c:pt>
                <c:pt idx="10">
                  <c:v>302343.69170245808</c:v>
                </c:pt>
                <c:pt idx="11">
                  <c:v>302343.69170245808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7C-47EC-AD87-78AB54320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12128"/>
        <c:axId val="49713920"/>
      </c:lineChart>
      <c:catAx>
        <c:axId val="4971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713920"/>
        <c:crosses val="autoZero"/>
        <c:auto val="1"/>
        <c:lblAlgn val="ctr"/>
        <c:lblOffset val="100"/>
        <c:noMultiLvlLbl val="0"/>
      </c:catAx>
      <c:valAx>
        <c:axId val="49713920"/>
        <c:scaling>
          <c:orientation val="minMax"/>
        </c:scaling>
        <c:delete val="0"/>
        <c:axPos val="l"/>
        <c:majorGridlines/>
        <c:numFmt formatCode="#,##0;[Red]\(#,##0\);\-\-" sourceLinked="1"/>
        <c:majorTickMark val="out"/>
        <c:minorTickMark val="none"/>
        <c:tickLblPos val="nextTo"/>
        <c:crossAx val="49712128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20</xdr:row>
      <xdr:rowOff>47625</xdr:rowOff>
    </xdr:from>
    <xdr:to>
      <xdr:col>9</xdr:col>
      <xdr:colOff>679000</xdr:colOff>
      <xdr:row>37</xdr:row>
      <xdr:rowOff>48875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54768</xdr:colOff>
      <xdr:row>20</xdr:row>
      <xdr:rowOff>47625</xdr:rowOff>
    </xdr:from>
    <xdr:to>
      <xdr:col>14</xdr:col>
      <xdr:colOff>352769</xdr:colOff>
      <xdr:row>37</xdr:row>
      <xdr:rowOff>48875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414337</xdr:colOff>
      <xdr:row>20</xdr:row>
      <xdr:rowOff>47625</xdr:rowOff>
    </xdr:from>
    <xdr:to>
      <xdr:col>19</xdr:col>
      <xdr:colOff>26537</xdr:colOff>
      <xdr:row>37</xdr:row>
      <xdr:rowOff>48875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88106</xdr:colOff>
      <xdr:row>20</xdr:row>
      <xdr:rowOff>47625</xdr:rowOff>
    </xdr:from>
    <xdr:to>
      <xdr:col>23</xdr:col>
      <xdr:colOff>386106</xdr:colOff>
      <xdr:row>37</xdr:row>
      <xdr:rowOff>48875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447675</xdr:colOff>
      <xdr:row>20</xdr:row>
      <xdr:rowOff>47625</xdr:rowOff>
    </xdr:from>
    <xdr:to>
      <xdr:col>47</xdr:col>
      <xdr:colOff>40826</xdr:colOff>
      <xdr:row>37</xdr:row>
      <xdr:rowOff>48875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E213"/>
  <sheetViews>
    <sheetView showGridLines="0" tabSelected="1" workbookViewId="0"/>
  </sheetViews>
  <sheetFormatPr defaultColWidth="0" defaultRowHeight="12.75" zeroHeight="1" x14ac:dyDescent="0.2"/>
  <cols>
    <col min="1" max="8" width="3.125" customWidth="1"/>
    <col min="9" max="14" width="12.5" customWidth="1"/>
    <col min="15" max="26" width="9.375" customWidth="1"/>
    <col min="27" max="57" width="0.625" customWidth="1"/>
    <col min="58" max="16384" width="9" hidden="1"/>
  </cols>
  <sheetData>
    <row r="1" spans="1:57" x14ac:dyDescent="0.2">
      <c r="A1" s="1" t="str">
        <f>J8&amp;" - "&amp;J9</f>
        <v>CitiPower - B Switchboard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Inputs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$J$10</f>
        <v>2019</v>
      </c>
      <c r="P2" s="7">
        <f>O2+1</f>
        <v>2020</v>
      </c>
      <c r="Q2" s="7">
        <f t="shared" ref="Q2:Z2" si="0">P2+1</f>
        <v>2021</v>
      </c>
      <c r="R2" s="7">
        <f t="shared" si="0"/>
        <v>2022</v>
      </c>
      <c r="S2" s="7">
        <f t="shared" si="0"/>
        <v>2023</v>
      </c>
      <c r="T2" s="7">
        <f t="shared" si="0"/>
        <v>2024</v>
      </c>
      <c r="U2" s="7">
        <f t="shared" si="0"/>
        <v>2025</v>
      </c>
      <c r="V2" s="7">
        <f t="shared" si="0"/>
        <v>2026</v>
      </c>
      <c r="W2" s="7">
        <f t="shared" si="0"/>
        <v>2027</v>
      </c>
      <c r="X2" s="7">
        <f t="shared" si="0"/>
        <v>2028</v>
      </c>
      <c r="Y2" s="7">
        <f t="shared" si="0"/>
        <v>2029</v>
      </c>
      <c r="Z2" s="7">
        <f t="shared" si="0"/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0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2</v>
      </c>
      <c r="D8" s="10"/>
      <c r="E8" s="10"/>
      <c r="F8" s="10"/>
      <c r="G8" s="10"/>
      <c r="H8" s="10"/>
      <c r="I8" s="10"/>
      <c r="J8" s="14" t="s">
        <v>197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 t="s">
        <v>3</v>
      </c>
      <c r="D9" s="10"/>
      <c r="E9" s="10"/>
      <c r="F9" s="10"/>
      <c r="G9" s="10"/>
      <c r="H9" s="10"/>
      <c r="I9" s="10"/>
      <c r="J9" s="14" t="s">
        <v>192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 t="s">
        <v>4</v>
      </c>
      <c r="D10" s="10"/>
      <c r="E10" s="10"/>
      <c r="F10" s="10"/>
      <c r="G10" s="10"/>
      <c r="H10" s="10"/>
      <c r="I10" s="10"/>
      <c r="J10" s="14">
        <v>2019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 t="s">
        <v>5</v>
      </c>
      <c r="D11" s="10"/>
      <c r="E11" s="10"/>
      <c r="F11" s="10"/>
      <c r="G11" s="10"/>
      <c r="H11" s="10"/>
      <c r="I11" s="10"/>
      <c r="J11" s="15">
        <v>2.75E-2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 t="s">
        <v>6</v>
      </c>
      <c r="D12" s="10"/>
      <c r="E12" s="10"/>
      <c r="F12" s="10"/>
      <c r="G12" s="10"/>
      <c r="H12" s="10"/>
      <c r="I12" s="10"/>
      <c r="J12" s="14">
        <v>50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 t="s">
        <v>7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 t="s">
        <v>8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6">
        <v>2010</v>
      </c>
      <c r="P16" s="16">
        <f>O16+1</f>
        <v>2011</v>
      </c>
      <c r="Q16" s="16">
        <f t="shared" ref="Q16:Z16" si="1">P16+1</f>
        <v>2012</v>
      </c>
      <c r="R16" s="16">
        <f t="shared" si="1"/>
        <v>2013</v>
      </c>
      <c r="S16" s="16">
        <f t="shared" si="1"/>
        <v>2014</v>
      </c>
      <c r="T16" s="16">
        <f t="shared" si="1"/>
        <v>2015</v>
      </c>
      <c r="U16" s="16">
        <f t="shared" si="1"/>
        <v>2016</v>
      </c>
      <c r="V16" s="16">
        <f t="shared" si="1"/>
        <v>2017</v>
      </c>
      <c r="W16" s="16">
        <f t="shared" si="1"/>
        <v>2018</v>
      </c>
      <c r="X16" s="16">
        <f t="shared" si="1"/>
        <v>2019</v>
      </c>
      <c r="Y16" s="16">
        <f t="shared" si="1"/>
        <v>2020</v>
      </c>
      <c r="Z16" s="16">
        <f t="shared" si="1"/>
        <v>2021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">
        <v>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5">
        <v>1.2543595909167342</v>
      </c>
      <c r="P17" s="15">
        <v>1.2203406060505559</v>
      </c>
      <c r="Q17" s="15">
        <v>1.1788463045070312</v>
      </c>
      <c r="R17" s="15">
        <v>1.155686259231844</v>
      </c>
      <c r="S17" s="15">
        <v>1.1312390499019396</v>
      </c>
      <c r="T17" s="15">
        <v>1.1057223796033995</v>
      </c>
      <c r="U17" s="15">
        <v>1.0892651162790699</v>
      </c>
      <c r="V17" s="15">
        <v>1.0782320441988953</v>
      </c>
      <c r="W17" s="15">
        <v>1.0577777777777779</v>
      </c>
      <c r="X17" s="15">
        <v>1.0362477876106195</v>
      </c>
      <c r="Y17" s="15">
        <v>1.02</v>
      </c>
      <c r="Z17" s="15">
        <v>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 t="s">
        <v>10</v>
      </c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 t="str">
        <f>"Replacement capex regulator, real $"&amp;$J$10</f>
        <v>Replacement capex regulator, real $2019</v>
      </c>
      <c r="D21" s="10"/>
      <c r="E21" s="10"/>
      <c r="F21" s="10"/>
      <c r="G21" s="10"/>
      <c r="H21" s="10"/>
      <c r="I21" s="10"/>
      <c r="J21" s="17">
        <f>SUM(O21:Z21)</f>
        <v>8144815.14220089</v>
      </c>
      <c r="K21" s="10"/>
      <c r="L21" s="10"/>
      <c r="M21" s="10"/>
      <c r="N21" s="10"/>
      <c r="O21" s="18">
        <v>0</v>
      </c>
      <c r="P21" s="18">
        <v>0</v>
      </c>
      <c r="Q21" s="18">
        <v>75000</v>
      </c>
      <c r="R21" s="18">
        <v>2199100</v>
      </c>
      <c r="S21" s="18">
        <v>5870715.14220089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 t="s">
        <v>11</v>
      </c>
      <c r="E22" s="10"/>
      <c r="F22" s="10"/>
      <c r="G22" s="10"/>
      <c r="H22" s="10"/>
      <c r="I22" s="10"/>
      <c r="J22" s="19">
        <f>SUM(O22:Z22)</f>
        <v>8440046.6716031451</v>
      </c>
      <c r="K22" s="10"/>
      <c r="L22" s="10"/>
      <c r="M22" s="10"/>
      <c r="N22" s="10"/>
      <c r="O22" s="19">
        <f t="shared" ref="O22:Z22" si="2">O21*HLOOKUP($J$10,$O$16:$Z$17,2,0)</f>
        <v>0</v>
      </c>
      <c r="P22" s="19">
        <f t="shared" si="2"/>
        <v>0</v>
      </c>
      <c r="Q22" s="19">
        <f t="shared" si="2"/>
        <v>77718.584070796467</v>
      </c>
      <c r="R22" s="19">
        <f t="shared" si="2"/>
        <v>2278812.5097345132</v>
      </c>
      <c r="S22" s="19">
        <f t="shared" si="2"/>
        <v>6083515.5777978357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 t="s">
        <v>12</v>
      </c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 t="s">
        <v>13</v>
      </c>
      <c r="K25" s="10" t="s">
        <v>14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 t="str">
        <f>"Annual opex, real $"&amp;$J$10</f>
        <v>Annual opex, real $2019</v>
      </c>
      <c r="D26" s="10"/>
      <c r="E26" s="10"/>
      <c r="F26" s="10"/>
      <c r="G26" s="10"/>
      <c r="H26" s="10"/>
      <c r="I26" s="10"/>
      <c r="J26" s="18">
        <v>45400</v>
      </c>
      <c r="K26" s="18">
        <v>20100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 t="s">
        <v>15</v>
      </c>
      <c r="E27" s="10"/>
      <c r="F27" s="10"/>
      <c r="G27" s="10"/>
      <c r="H27" s="10"/>
      <c r="I27" s="10"/>
      <c r="J27" s="19">
        <f>J26*HLOOKUP($J$10,$O$16:$Z$17,2,0)</f>
        <v>47045.649557522127</v>
      </c>
      <c r="K27" s="19">
        <f>K26*HLOOKUP($J$10,$O$16:$Z$17,2,0)</f>
        <v>20828.580530973453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11" t="s">
        <v>16</v>
      </c>
      <c r="B29" s="11"/>
      <c r="C29" s="12"/>
      <c r="D29" s="13"/>
      <c r="E29" s="13"/>
      <c r="F29" s="13"/>
      <c r="G29" s="13"/>
      <c r="H29" s="13"/>
      <c r="I29" s="1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 t="s">
        <v>17</v>
      </c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 t="s">
        <v>18</v>
      </c>
      <c r="D33" s="10"/>
      <c r="E33" s="10"/>
      <c r="F33" s="10"/>
      <c r="G33" s="10"/>
      <c r="H33" s="10"/>
      <c r="I33" s="10"/>
      <c r="J33" s="20" t="s">
        <v>19</v>
      </c>
      <c r="K33" s="20" t="s">
        <v>20</v>
      </c>
      <c r="L33" s="20" t="s">
        <v>21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21" t="s">
        <v>22</v>
      </c>
      <c r="E34" s="22"/>
      <c r="F34" s="22"/>
      <c r="G34" s="22"/>
      <c r="H34" s="22"/>
      <c r="I34" s="23"/>
      <c r="J34" s="24">
        <v>-0.1</v>
      </c>
      <c r="K34" s="25">
        <v>0</v>
      </c>
      <c r="L34" s="24">
        <v>0.1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21" t="s">
        <v>10</v>
      </c>
      <c r="E35" s="22"/>
      <c r="F35" s="22"/>
      <c r="G35" s="22"/>
      <c r="H35" s="22"/>
      <c r="I35" s="23"/>
      <c r="J35" s="24">
        <v>-0.1</v>
      </c>
      <c r="K35" s="25">
        <v>0</v>
      </c>
      <c r="L35" s="24">
        <v>0.1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21" t="s">
        <v>12</v>
      </c>
      <c r="E36" s="22"/>
      <c r="F36" s="22"/>
      <c r="G36" s="22"/>
      <c r="H36" s="22"/>
      <c r="I36" s="23"/>
      <c r="J36" s="24">
        <v>-0.1</v>
      </c>
      <c r="K36" s="25">
        <v>0</v>
      </c>
      <c r="L36" s="24">
        <v>0.1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21" t="s">
        <v>23</v>
      </c>
      <c r="E37" s="22"/>
      <c r="F37" s="22"/>
      <c r="G37" s="22"/>
      <c r="H37" s="22"/>
      <c r="I37" s="23"/>
      <c r="J37" s="24">
        <v>-0.05</v>
      </c>
      <c r="K37" s="25">
        <v>0</v>
      </c>
      <c r="L37" s="24">
        <v>0.05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21" t="s">
        <v>24</v>
      </c>
      <c r="E38" s="22"/>
      <c r="F38" s="22"/>
      <c r="G38" s="22"/>
      <c r="H38" s="22"/>
      <c r="I38" s="23"/>
      <c r="J38" s="24">
        <v>-0.1</v>
      </c>
      <c r="K38" s="25">
        <v>0</v>
      </c>
      <c r="L38" s="24">
        <v>0.1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21" t="s">
        <v>25</v>
      </c>
      <c r="E39" s="22"/>
      <c r="F39" s="22"/>
      <c r="G39" s="22"/>
      <c r="H39" s="22"/>
      <c r="I39" s="23"/>
      <c r="J39" s="24">
        <v>-0.1</v>
      </c>
      <c r="K39" s="25">
        <v>0</v>
      </c>
      <c r="L39" s="24">
        <v>0.1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 t="s">
        <v>26</v>
      </c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 t="s">
        <v>27</v>
      </c>
      <c r="D43" s="10"/>
      <c r="E43" s="10"/>
      <c r="F43" s="10"/>
      <c r="G43" s="10"/>
      <c r="H43" s="10"/>
      <c r="I43" s="10"/>
      <c r="J43" s="10" t="str">
        <f>D34</f>
        <v>PoF</v>
      </c>
      <c r="K43" s="10" t="str">
        <f>D35</f>
        <v>Capex</v>
      </c>
      <c r="L43" s="10" t="str">
        <f>D36</f>
        <v>Opex</v>
      </c>
      <c r="M43" s="10" t="str">
        <f>D37</f>
        <v>Demand</v>
      </c>
      <c r="N43" s="10" t="str">
        <f>D38</f>
        <v>VCR</v>
      </c>
      <c r="O43" s="10" t="str">
        <f>D39</f>
        <v>Environment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21" t="s">
        <v>28</v>
      </c>
      <c r="E44" s="22"/>
      <c r="F44" s="22"/>
      <c r="G44" s="22"/>
      <c r="H44" s="22"/>
      <c r="I44" s="23"/>
      <c r="J44" s="26" t="str">
        <f>$K$33</f>
        <v>Central</v>
      </c>
      <c r="K44" s="26" t="str">
        <f t="shared" ref="K44:O44" si="3">$K$33</f>
        <v>Central</v>
      </c>
      <c r="L44" s="26" t="str">
        <f t="shared" si="3"/>
        <v>Central</v>
      </c>
      <c r="M44" s="26" t="str">
        <f t="shared" si="3"/>
        <v>Central</v>
      </c>
      <c r="N44" s="26" t="str">
        <f t="shared" si="3"/>
        <v>Central</v>
      </c>
      <c r="O44" s="26" t="str">
        <f t="shared" si="3"/>
        <v>Central</v>
      </c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21" t="s">
        <v>29</v>
      </c>
      <c r="E45" s="22"/>
      <c r="F45" s="22"/>
      <c r="G45" s="22"/>
      <c r="H45" s="22"/>
      <c r="I45" s="23"/>
      <c r="J45" s="20" t="s">
        <v>19</v>
      </c>
      <c r="K45" s="20" t="s">
        <v>21</v>
      </c>
      <c r="L45" s="20" t="s">
        <v>21</v>
      </c>
      <c r="M45" s="20" t="s">
        <v>19</v>
      </c>
      <c r="N45" s="20" t="s">
        <v>19</v>
      </c>
      <c r="O45" s="20" t="s">
        <v>19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21" t="s">
        <v>30</v>
      </c>
      <c r="E46" s="22"/>
      <c r="F46" s="22"/>
      <c r="G46" s="22"/>
      <c r="H46" s="22"/>
      <c r="I46" s="23"/>
      <c r="J46" s="20" t="s">
        <v>19</v>
      </c>
      <c r="K46" s="20" t="s">
        <v>19</v>
      </c>
      <c r="L46" s="20" t="s">
        <v>19</v>
      </c>
      <c r="M46" s="20" t="s">
        <v>19</v>
      </c>
      <c r="N46" s="20" t="s">
        <v>19</v>
      </c>
      <c r="O46" s="20" t="s">
        <v>19</v>
      </c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21" t="s">
        <v>31</v>
      </c>
      <c r="E47" s="22"/>
      <c r="F47" s="22"/>
      <c r="G47" s="22"/>
      <c r="H47" s="22"/>
      <c r="I47" s="23"/>
      <c r="J47" s="20" t="s">
        <v>21</v>
      </c>
      <c r="K47" s="20" t="s">
        <v>21</v>
      </c>
      <c r="L47" s="20" t="s">
        <v>21</v>
      </c>
      <c r="M47" s="20" t="s">
        <v>21</v>
      </c>
      <c r="N47" s="20" t="s">
        <v>21</v>
      </c>
      <c r="O47" s="20" t="s">
        <v>21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21" t="s">
        <v>32</v>
      </c>
      <c r="E48" s="22"/>
      <c r="F48" s="22"/>
      <c r="G48" s="22"/>
      <c r="H48" s="22"/>
      <c r="I48" s="23"/>
      <c r="J48" s="20" t="s">
        <v>21</v>
      </c>
      <c r="K48" s="20" t="s">
        <v>19</v>
      </c>
      <c r="L48" s="20" t="s">
        <v>19</v>
      </c>
      <c r="M48" s="20" t="s">
        <v>21</v>
      </c>
      <c r="N48" s="20" t="s">
        <v>21</v>
      </c>
      <c r="O48" s="20" t="s">
        <v>21</v>
      </c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8"/>
      <c r="B50" s="8" t="s">
        <v>33</v>
      </c>
      <c r="C50" s="9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</row>
    <row r="51" spans="1:57" x14ac:dyDescent="0.2">
      <c r="A51" s="8"/>
      <c r="B51" s="8"/>
      <c r="C51" s="9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</row>
    <row r="52" spans="1:57" x14ac:dyDescent="0.2">
      <c r="A52" s="8"/>
      <c r="B52" s="8"/>
      <c r="C52" s="9" t="s">
        <v>27</v>
      </c>
      <c r="D52" s="10"/>
      <c r="E52" s="10"/>
      <c r="F52" s="10"/>
      <c r="G52" s="10"/>
      <c r="H52" s="10"/>
      <c r="I52" s="10"/>
      <c r="J52" s="10" t="str">
        <f>J43</f>
        <v>PoF</v>
      </c>
      <c r="K52" s="10" t="str">
        <f t="shared" ref="K52:O52" si="4">K43</f>
        <v>Capex</v>
      </c>
      <c r="L52" s="10" t="str">
        <f t="shared" si="4"/>
        <v>Opex</v>
      </c>
      <c r="M52" s="10" t="str">
        <f t="shared" si="4"/>
        <v>Demand</v>
      </c>
      <c r="N52" s="10" t="str">
        <f t="shared" si="4"/>
        <v>VCR</v>
      </c>
      <c r="O52" s="10" t="str">
        <f t="shared" si="4"/>
        <v>Environment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</row>
    <row r="53" spans="1:57" x14ac:dyDescent="0.2">
      <c r="A53" s="8"/>
      <c r="B53" s="8"/>
      <c r="C53" s="9"/>
      <c r="D53" s="10" t="str">
        <f>D44</f>
        <v>Base case</v>
      </c>
      <c r="E53" s="10"/>
      <c r="F53" s="10"/>
      <c r="G53" s="10"/>
      <c r="H53" s="10"/>
      <c r="I53" s="10"/>
      <c r="J53" s="24">
        <v>1</v>
      </c>
      <c r="K53" s="24">
        <v>1</v>
      </c>
      <c r="L53" s="24">
        <v>1</v>
      </c>
      <c r="M53" s="24">
        <v>1</v>
      </c>
      <c r="N53" s="24">
        <v>1</v>
      </c>
      <c r="O53" s="24">
        <v>1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</row>
    <row r="54" spans="1:57" x14ac:dyDescent="0.2">
      <c r="A54" s="8"/>
      <c r="B54" s="8"/>
      <c r="C54" s="9"/>
      <c r="D54" s="10" t="str">
        <f t="shared" ref="D54:D57" si="5">D45</f>
        <v>A</v>
      </c>
      <c r="E54" s="10"/>
      <c r="F54" s="10"/>
      <c r="G54" s="10"/>
      <c r="H54" s="10"/>
      <c r="I54" s="10"/>
      <c r="J54" s="27">
        <f t="shared" ref="J54:O57" si="6">J$53+INDEX($J$34:$L$39,MATCH(J$52,$D$34:$D$39,0),MATCH(J45,$J$33:$L$33,0))</f>
        <v>0.9</v>
      </c>
      <c r="K54" s="28">
        <f t="shared" si="6"/>
        <v>1.1000000000000001</v>
      </c>
      <c r="L54" s="28">
        <f t="shared" si="6"/>
        <v>1.1000000000000001</v>
      </c>
      <c r="M54" s="28">
        <f t="shared" si="6"/>
        <v>0.95</v>
      </c>
      <c r="N54" s="28">
        <f t="shared" si="6"/>
        <v>0.9</v>
      </c>
      <c r="O54" s="28">
        <f t="shared" si="6"/>
        <v>0.9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</row>
    <row r="55" spans="1:57" x14ac:dyDescent="0.2">
      <c r="A55" s="8"/>
      <c r="B55" s="8"/>
      <c r="C55" s="9"/>
      <c r="D55" s="10" t="str">
        <f t="shared" si="5"/>
        <v>B</v>
      </c>
      <c r="E55" s="10"/>
      <c r="F55" s="10"/>
      <c r="G55" s="10"/>
      <c r="H55" s="10"/>
      <c r="I55" s="10"/>
      <c r="J55" s="28">
        <f t="shared" si="6"/>
        <v>0.9</v>
      </c>
      <c r="K55" s="28">
        <f t="shared" si="6"/>
        <v>0.9</v>
      </c>
      <c r="L55" s="28">
        <f t="shared" si="6"/>
        <v>0.9</v>
      </c>
      <c r="M55" s="28">
        <f t="shared" si="6"/>
        <v>0.95</v>
      </c>
      <c r="N55" s="28">
        <f t="shared" si="6"/>
        <v>0.9</v>
      </c>
      <c r="O55" s="28">
        <f t="shared" si="6"/>
        <v>0.9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</row>
    <row r="56" spans="1:57" x14ac:dyDescent="0.2">
      <c r="A56" s="8"/>
      <c r="B56" s="8"/>
      <c r="C56" s="9"/>
      <c r="D56" s="10" t="str">
        <f t="shared" si="5"/>
        <v>C</v>
      </c>
      <c r="E56" s="10"/>
      <c r="F56" s="10"/>
      <c r="G56" s="10"/>
      <c r="H56" s="10"/>
      <c r="I56" s="10"/>
      <c r="J56" s="28">
        <f t="shared" si="6"/>
        <v>1.1000000000000001</v>
      </c>
      <c r="K56" s="28">
        <f t="shared" si="6"/>
        <v>1.1000000000000001</v>
      </c>
      <c r="L56" s="28">
        <f t="shared" si="6"/>
        <v>1.1000000000000001</v>
      </c>
      <c r="M56" s="28">
        <f t="shared" si="6"/>
        <v>1.05</v>
      </c>
      <c r="N56" s="28">
        <f t="shared" si="6"/>
        <v>1.1000000000000001</v>
      </c>
      <c r="O56" s="28">
        <f t="shared" si="6"/>
        <v>1.1000000000000001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</row>
    <row r="57" spans="1:57" x14ac:dyDescent="0.2">
      <c r="A57" s="8"/>
      <c r="B57" s="8"/>
      <c r="C57" s="9"/>
      <c r="D57" s="29" t="str">
        <f t="shared" si="5"/>
        <v>D</v>
      </c>
      <c r="E57" s="29"/>
      <c r="F57" s="29"/>
      <c r="G57" s="29"/>
      <c r="H57" s="29"/>
      <c r="I57" s="29"/>
      <c r="J57" s="28">
        <f t="shared" si="6"/>
        <v>1.1000000000000001</v>
      </c>
      <c r="K57" s="28">
        <f t="shared" si="6"/>
        <v>0.9</v>
      </c>
      <c r="L57" s="28">
        <f t="shared" si="6"/>
        <v>0.9</v>
      </c>
      <c r="M57" s="28">
        <f t="shared" si="6"/>
        <v>1.05</v>
      </c>
      <c r="N57" s="28">
        <f t="shared" si="6"/>
        <v>1.1000000000000001</v>
      </c>
      <c r="O57" s="28">
        <f t="shared" si="6"/>
        <v>1.1000000000000001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</row>
    <row r="58" spans="1:57" x14ac:dyDescent="0.2">
      <c r="A58" s="8"/>
      <c r="B58" s="8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</row>
    <row r="59" spans="1:57" x14ac:dyDescent="0.2">
      <c r="A59" s="11" t="s">
        <v>34</v>
      </c>
      <c r="B59" s="11"/>
      <c r="C59" s="12"/>
      <c r="D59" s="13"/>
      <c r="E59" s="13"/>
      <c r="F59" s="13"/>
      <c r="G59" s="13"/>
      <c r="H59" s="13"/>
      <c r="I59" s="1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</row>
    <row r="60" spans="1:57" x14ac:dyDescent="0.2">
      <c r="A60" s="8"/>
      <c r="B60" s="8"/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</row>
    <row r="61" spans="1:57" x14ac:dyDescent="0.2">
      <c r="A61" s="8"/>
      <c r="B61" s="8" t="s">
        <v>35</v>
      </c>
      <c r="C61" s="9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</row>
    <row r="62" spans="1:57" x14ac:dyDescent="0.2">
      <c r="A62" s="8"/>
      <c r="B62" s="8"/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</row>
    <row r="63" spans="1:57" x14ac:dyDescent="0.2">
      <c r="A63" s="8"/>
      <c r="B63" s="8"/>
      <c r="C63" s="9" t="s">
        <v>36</v>
      </c>
      <c r="D63" s="10"/>
      <c r="E63" s="10"/>
      <c r="F63" s="10"/>
      <c r="G63" s="10"/>
      <c r="H63" s="10"/>
      <c r="I63" s="10"/>
      <c r="J63" s="10" t="s">
        <v>37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</row>
    <row r="64" spans="1:57" x14ac:dyDescent="0.2">
      <c r="A64" s="8"/>
      <c r="B64" s="8"/>
      <c r="C64" s="9"/>
      <c r="D64" s="21" t="s">
        <v>38</v>
      </c>
      <c r="E64" s="22"/>
      <c r="F64" s="22"/>
      <c r="G64" s="22"/>
      <c r="H64" s="22"/>
      <c r="I64" s="23"/>
      <c r="J64" s="30">
        <v>1</v>
      </c>
      <c r="K64" s="10"/>
      <c r="L64" s="10"/>
      <c r="M64" s="10"/>
      <c r="N64" s="10"/>
      <c r="O64" s="15">
        <v>4.9689754147419871E-2</v>
      </c>
      <c r="P64" s="15">
        <v>5.3301961555664593E-2</v>
      </c>
      <c r="Q64" s="15">
        <v>5.7209408540142434E-2</v>
      </c>
      <c r="R64" s="15">
        <v>6.1437515136757957E-2</v>
      </c>
      <c r="S64" s="15">
        <v>6.6013959430656619E-2</v>
      </c>
      <c r="T64" s="15">
        <v>7.0968882110861359E-2</v>
      </c>
      <c r="U64" s="15">
        <v>7.6335109792992462E-2</v>
      </c>
      <c r="V64" s="15">
        <v>8.2148398846616177E-2</v>
      </c>
      <c r="W64" s="15">
        <v>8.8447701625344224E-2</v>
      </c>
      <c r="X64" s="15">
        <v>9.5275457174473652E-2</v>
      </c>
      <c r="Y64" s="15">
        <v>0.10267790868412582</v>
      </c>
      <c r="Z64" s="15">
        <v>0.1106554955956728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</row>
    <row r="65" spans="1:57" x14ac:dyDescent="0.2">
      <c r="A65" s="8"/>
      <c r="B65" s="8"/>
      <c r="C65" s="9"/>
      <c r="D65" s="21" t="s">
        <v>39</v>
      </c>
      <c r="E65" s="22"/>
      <c r="F65" s="22"/>
      <c r="G65" s="22"/>
      <c r="H65" s="22"/>
      <c r="I65" s="23"/>
      <c r="J65" s="30">
        <v>2</v>
      </c>
      <c r="K65" s="10"/>
      <c r="L65" s="10"/>
      <c r="M65" s="10"/>
      <c r="N65" s="10"/>
      <c r="O65" s="15">
        <v>5.5210837941577643E-3</v>
      </c>
      <c r="P65" s="15">
        <v>5.9224401728516212E-3</v>
      </c>
      <c r="Q65" s="15">
        <v>6.3566009489047157E-3</v>
      </c>
      <c r="R65" s="15">
        <v>6.8263905707508857E-3</v>
      </c>
      <c r="S65" s="15">
        <v>7.3348843811840694E-3</v>
      </c>
      <c r="T65" s="15">
        <v>7.8854313456512629E-3</v>
      </c>
      <c r="U65" s="15">
        <v>8.4816788658880534E-3</v>
      </c>
      <c r="V65" s="15">
        <v>9.1275998718462429E-3</v>
      </c>
      <c r="W65" s="15">
        <v>9.8275224028160271E-3</v>
      </c>
      <c r="X65" s="15">
        <v>1.0586161908274851E-2</v>
      </c>
      <c r="Y65" s="15">
        <v>1.1408656520458426E-2</v>
      </c>
      <c r="Z65" s="15">
        <v>1.2295055066185868E-2</v>
      </c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</row>
    <row r="66" spans="1:57" x14ac:dyDescent="0.2">
      <c r="A66" s="8"/>
      <c r="B66" s="8"/>
      <c r="C66" s="9"/>
      <c r="D66" s="137" t="s">
        <v>40</v>
      </c>
      <c r="E66" s="134"/>
      <c r="F66" s="134"/>
      <c r="G66" s="134"/>
      <c r="H66" s="134"/>
      <c r="I66" s="135"/>
      <c r="J66" s="30">
        <v>3</v>
      </c>
      <c r="K66" s="136"/>
      <c r="L66" s="136"/>
      <c r="M66" s="136"/>
      <c r="N66" s="136"/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</row>
    <row r="67" spans="1:57" x14ac:dyDescent="0.2">
      <c r="A67" s="8"/>
      <c r="B67" s="8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</row>
    <row r="68" spans="1:57" x14ac:dyDescent="0.2">
      <c r="A68" s="8"/>
      <c r="B68" s="8" t="s">
        <v>41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</row>
    <row r="69" spans="1:57" x14ac:dyDescent="0.2">
      <c r="A69" s="8"/>
      <c r="B69" s="8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</row>
    <row r="70" spans="1:57" ht="38.25" x14ac:dyDescent="0.2">
      <c r="A70" s="8"/>
      <c r="B70" s="8"/>
      <c r="C70" s="9" t="s">
        <v>42</v>
      </c>
      <c r="D70" s="10"/>
      <c r="E70" s="10"/>
      <c r="F70" s="10"/>
      <c r="G70" s="10"/>
      <c r="H70" s="10"/>
      <c r="I70" s="10"/>
      <c r="J70" s="31" t="s">
        <v>43</v>
      </c>
      <c r="K70" s="31" t="s">
        <v>193</v>
      </c>
      <c r="L70" s="31" t="s">
        <v>44</v>
      </c>
      <c r="M70" s="31" t="s">
        <v>194</v>
      </c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</row>
    <row r="71" spans="1:57" x14ac:dyDescent="0.2">
      <c r="A71" s="8"/>
      <c r="B71" s="8"/>
      <c r="C71" s="9"/>
      <c r="D71" s="10" t="s">
        <v>45</v>
      </c>
      <c r="E71" s="10"/>
      <c r="F71" s="10"/>
      <c r="G71" s="10"/>
      <c r="H71" s="10"/>
      <c r="I71" s="10"/>
      <c r="J71" s="18">
        <v>15960</v>
      </c>
      <c r="K71" s="18">
        <v>26450</v>
      </c>
      <c r="L71" s="15">
        <v>0.2</v>
      </c>
      <c r="M71" s="19">
        <f>K71*J71/$J$75*L71*$W$17</f>
        <v>609.45913803849862</v>
      </c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</row>
    <row r="72" spans="1:57" x14ac:dyDescent="0.2">
      <c r="A72" s="8"/>
      <c r="B72" s="8"/>
      <c r="C72" s="9"/>
      <c r="D72" s="10" t="s">
        <v>46</v>
      </c>
      <c r="E72" s="10"/>
      <c r="F72" s="10"/>
      <c r="G72" s="10"/>
      <c r="H72" s="10"/>
      <c r="I72" s="10"/>
      <c r="J72" s="18">
        <v>0</v>
      </c>
      <c r="K72" s="18">
        <v>50930</v>
      </c>
      <c r="L72" s="15">
        <v>0.15</v>
      </c>
      <c r="M72" s="19">
        <f>K72*J72/$J$75*L72*$W$17</f>
        <v>0</v>
      </c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</row>
    <row r="73" spans="1:57" x14ac:dyDescent="0.2">
      <c r="A73" s="8"/>
      <c r="B73" s="8"/>
      <c r="C73" s="9"/>
      <c r="D73" s="10" t="s">
        <v>47</v>
      </c>
      <c r="E73" s="10"/>
      <c r="F73" s="10"/>
      <c r="G73" s="10"/>
      <c r="H73" s="10"/>
      <c r="I73" s="10"/>
      <c r="J73" s="18">
        <v>89537</v>
      </c>
      <c r="K73" s="18">
        <v>47770</v>
      </c>
      <c r="L73" s="15">
        <v>0.4</v>
      </c>
      <c r="M73" s="19">
        <f>K73*J73/$J$75*L73*$W$17</f>
        <v>12350.194738210172</v>
      </c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</row>
    <row r="74" spans="1:57" x14ac:dyDescent="0.2">
      <c r="A74" s="8"/>
      <c r="B74" s="8"/>
      <c r="C74" s="9"/>
      <c r="D74" s="29" t="s">
        <v>48</v>
      </c>
      <c r="E74" s="29"/>
      <c r="F74" s="29"/>
      <c r="G74" s="29"/>
      <c r="H74" s="29"/>
      <c r="I74" s="29"/>
      <c r="J74" s="18">
        <v>41037</v>
      </c>
      <c r="K74" s="18">
        <v>47070</v>
      </c>
      <c r="L74" s="15">
        <v>0.8</v>
      </c>
      <c r="M74" s="19">
        <f>K74*J74/$J$75*L74*$W$17</f>
        <v>11154.903654851436</v>
      </c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</row>
    <row r="75" spans="1:57" x14ac:dyDescent="0.2">
      <c r="A75" s="8"/>
      <c r="B75" s="8"/>
      <c r="C75" s="9"/>
      <c r="D75" s="10" t="s">
        <v>49</v>
      </c>
      <c r="E75" s="10"/>
      <c r="F75" s="10"/>
      <c r="G75" s="10"/>
      <c r="H75" s="10"/>
      <c r="I75" s="10"/>
      <c r="J75" s="32">
        <f>SUM(J71:J74)</f>
        <v>146534</v>
      </c>
      <c r="K75" s="32">
        <f>SUMPRODUCT(J71:J74,K71:K74)/J75</f>
        <v>45251.860182619734</v>
      </c>
      <c r="L75" s="33">
        <f>M75/(K75*$W$17)</f>
        <v>0.5037887000714385</v>
      </c>
      <c r="M75" s="34">
        <f>SUMPRODUCT(J71:J74,K71:K74,L71:L74)/J75*W17</f>
        <v>24114.557531100105</v>
      </c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</row>
    <row r="76" spans="1:57" x14ac:dyDescent="0.2">
      <c r="A76" s="8"/>
      <c r="B76" s="8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</row>
    <row r="77" spans="1:57" x14ac:dyDescent="0.2">
      <c r="A77" s="8"/>
      <c r="B77" s="8" t="s">
        <v>50</v>
      </c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</row>
    <row r="78" spans="1:57" x14ac:dyDescent="0.2">
      <c r="A78" s="8"/>
      <c r="B78" s="8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</row>
    <row r="79" spans="1:57" x14ac:dyDescent="0.2">
      <c r="A79" s="8"/>
      <c r="B79" s="8"/>
      <c r="C79" s="9" t="s">
        <v>51</v>
      </c>
      <c r="D79" s="9"/>
      <c r="E79" s="10"/>
      <c r="F79" s="10"/>
      <c r="G79" s="10"/>
      <c r="H79" s="10"/>
      <c r="I79" s="10"/>
      <c r="J79" s="30">
        <v>1</v>
      </c>
      <c r="K79" s="10"/>
      <c r="M79" s="142" t="s">
        <v>195</v>
      </c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</row>
    <row r="80" spans="1:57" x14ac:dyDescent="0.2">
      <c r="A80" s="8"/>
      <c r="B80" s="8"/>
      <c r="C80" s="9" t="s">
        <v>52</v>
      </c>
      <c r="D80" s="9"/>
      <c r="E80" s="10"/>
      <c r="F80" s="10"/>
      <c r="G80" s="10"/>
      <c r="H80" s="10"/>
      <c r="I80" s="10"/>
      <c r="J80" s="18">
        <v>58</v>
      </c>
      <c r="K80" s="10"/>
      <c r="L80" s="10" t="s">
        <v>196</v>
      </c>
      <c r="M80" s="141">
        <f>MAX(M81:M82)</f>
        <v>4</v>
      </c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</row>
    <row r="81" spans="1:57" x14ac:dyDescent="0.2">
      <c r="A81" s="8"/>
      <c r="B81" s="8"/>
      <c r="C81" s="9"/>
      <c r="D81" s="10" t="s">
        <v>53</v>
      </c>
      <c r="E81" s="10"/>
      <c r="F81" s="10"/>
      <c r="G81" s="10"/>
      <c r="H81" s="10"/>
      <c r="I81" s="10"/>
      <c r="J81" s="18">
        <v>29</v>
      </c>
      <c r="K81" s="10"/>
      <c r="L81" s="10" t="str">
        <f>D64</f>
        <v>Significant</v>
      </c>
      <c r="M81" s="18">
        <v>1</v>
      </c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</row>
    <row r="82" spans="1:57" x14ac:dyDescent="0.2">
      <c r="A82" s="8"/>
      <c r="B82" s="8"/>
      <c r="C82" s="9"/>
      <c r="D82" s="10" t="s">
        <v>54</v>
      </c>
      <c r="E82" s="10"/>
      <c r="F82" s="10"/>
      <c r="G82" s="10"/>
      <c r="H82" s="10"/>
      <c r="I82" s="10"/>
      <c r="J82" s="18">
        <v>0</v>
      </c>
      <c r="K82" s="10"/>
      <c r="L82" s="10" t="str">
        <f>D65</f>
        <v>Major</v>
      </c>
      <c r="M82" s="18">
        <v>4</v>
      </c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</row>
    <row r="83" spans="1:57" x14ac:dyDescent="0.2">
      <c r="A83" s="8"/>
      <c r="B83" s="8"/>
      <c r="C83" s="9"/>
      <c r="D83" s="10" t="s">
        <v>55</v>
      </c>
      <c r="E83" s="10"/>
      <c r="F83" s="10"/>
      <c r="G83" s="10"/>
      <c r="H83" s="10"/>
      <c r="I83" s="10"/>
      <c r="J83" s="18">
        <v>0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</row>
    <row r="84" spans="1:57" x14ac:dyDescent="0.2">
      <c r="A84" s="8"/>
      <c r="B84" s="8"/>
      <c r="C84" s="9"/>
      <c r="D84" s="10" t="s">
        <v>56</v>
      </c>
      <c r="E84" s="10"/>
      <c r="F84" s="10"/>
      <c r="G84" s="10"/>
      <c r="H84" s="10"/>
      <c r="I84" s="10"/>
      <c r="J84" s="18">
        <v>0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</row>
    <row r="85" spans="1:57" x14ac:dyDescent="0.2">
      <c r="A85" s="8"/>
      <c r="B85" s="8"/>
      <c r="C85" s="9"/>
      <c r="D85" s="29" t="s">
        <v>57</v>
      </c>
      <c r="E85" s="29"/>
      <c r="F85" s="29"/>
      <c r="G85" s="29"/>
      <c r="H85" s="29"/>
      <c r="I85" s="29"/>
      <c r="J85" s="18">
        <f>14.9*(1-$J$187)+17.2*$J$187</f>
        <v>16.509999999999998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</row>
    <row r="86" spans="1:57" x14ac:dyDescent="0.2">
      <c r="A86" s="8"/>
      <c r="B86" s="8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</row>
    <row r="87" spans="1:57" x14ac:dyDescent="0.2">
      <c r="A87" s="11" t="s">
        <v>58</v>
      </c>
      <c r="B87" s="11"/>
      <c r="C87" s="12"/>
      <c r="D87" s="13"/>
      <c r="E87" s="13"/>
      <c r="F87" s="13"/>
      <c r="G87" s="13"/>
      <c r="H87" s="13"/>
      <c r="I87" s="1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</row>
    <row r="88" spans="1:57" x14ac:dyDescent="0.2">
      <c r="A88" s="8"/>
      <c r="B88" s="8"/>
      <c r="C88" s="9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</row>
    <row r="89" spans="1:57" x14ac:dyDescent="0.2">
      <c r="A89" s="8"/>
      <c r="B89" s="8" t="s">
        <v>59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</row>
    <row r="90" spans="1:57" x14ac:dyDescent="0.2">
      <c r="A90" s="8"/>
      <c r="B90" s="8"/>
      <c r="C90" s="9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</row>
    <row r="91" spans="1:57" x14ac:dyDescent="0.2">
      <c r="A91" s="8"/>
      <c r="B91" s="8"/>
      <c r="C91" s="9" t="s">
        <v>60</v>
      </c>
      <c r="D91" s="10"/>
      <c r="E91" s="10"/>
      <c r="F91" s="10"/>
      <c r="G91" s="10"/>
      <c r="H91" s="10"/>
      <c r="I91" s="10"/>
      <c r="J91" s="10" t="s">
        <v>61</v>
      </c>
      <c r="K91" s="10" t="s">
        <v>62</v>
      </c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</row>
    <row r="92" spans="1:57" x14ac:dyDescent="0.2">
      <c r="A92" s="8"/>
      <c r="B92" s="8"/>
      <c r="C92" s="9"/>
      <c r="D92" s="10" t="s">
        <v>63</v>
      </c>
      <c r="E92" s="10"/>
      <c r="F92" s="10"/>
      <c r="G92" s="10"/>
      <c r="H92" s="10"/>
      <c r="I92" s="10"/>
      <c r="J92" s="18">
        <v>100</v>
      </c>
      <c r="K92" s="19">
        <f t="shared" ref="K92:K97" si="7">J92*HLOOKUP($J$10,$O$16:$Z$17,2,0)</f>
        <v>103.62477876106195</v>
      </c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</row>
    <row r="93" spans="1:57" x14ac:dyDescent="0.2">
      <c r="A93" s="8"/>
      <c r="B93" s="8"/>
      <c r="C93" s="9"/>
      <c r="D93" s="10" t="s">
        <v>64</v>
      </c>
      <c r="E93" s="10"/>
      <c r="F93" s="10"/>
      <c r="G93" s="10"/>
      <c r="H93" s="10"/>
      <c r="I93" s="10"/>
      <c r="J93" s="18">
        <v>598</v>
      </c>
      <c r="K93" s="19">
        <f t="shared" si="7"/>
        <v>619.67617699115044</v>
      </c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</row>
    <row r="94" spans="1:57" x14ac:dyDescent="0.2">
      <c r="A94" s="8"/>
      <c r="B94" s="8"/>
      <c r="C94" s="9"/>
      <c r="D94" s="10" t="s">
        <v>65</v>
      </c>
      <c r="E94" s="10"/>
      <c r="F94" s="10"/>
      <c r="G94" s="10"/>
      <c r="H94" s="10"/>
      <c r="I94" s="10"/>
      <c r="J94" s="18">
        <v>10000</v>
      </c>
      <c r="K94" s="19">
        <f t="shared" si="7"/>
        <v>10362.477876106195</v>
      </c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</row>
    <row r="95" spans="1:57" x14ac:dyDescent="0.2">
      <c r="A95" s="8"/>
      <c r="B95" s="8"/>
      <c r="C95" s="9"/>
      <c r="D95" s="10" t="s">
        <v>66</v>
      </c>
      <c r="E95" s="10"/>
      <c r="F95" s="10"/>
      <c r="G95" s="10"/>
      <c r="H95" s="10"/>
      <c r="I95" s="10"/>
      <c r="J95" s="18">
        <v>1000</v>
      </c>
      <c r="K95" s="19">
        <f t="shared" si="7"/>
        <v>1036.2477876106195</v>
      </c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</row>
    <row r="96" spans="1:57" x14ac:dyDescent="0.2">
      <c r="A96" s="8"/>
      <c r="B96" s="8"/>
      <c r="C96" s="9"/>
      <c r="D96" s="10" t="s">
        <v>67</v>
      </c>
      <c r="E96" s="10"/>
      <c r="F96" s="10"/>
      <c r="G96" s="10"/>
      <c r="H96" s="10"/>
      <c r="I96" s="10"/>
      <c r="J96" s="18">
        <v>400</v>
      </c>
      <c r="K96" s="19">
        <f t="shared" si="7"/>
        <v>414.49911504424779</v>
      </c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</row>
    <row r="97" spans="1:57" x14ac:dyDescent="0.2">
      <c r="A97" s="8"/>
      <c r="B97" s="8"/>
      <c r="C97" s="9"/>
      <c r="D97" s="29" t="s">
        <v>68</v>
      </c>
      <c r="E97" s="29"/>
      <c r="F97" s="29"/>
      <c r="G97" s="29"/>
      <c r="H97" s="29"/>
      <c r="I97" s="29"/>
      <c r="J97" s="18">
        <v>50000</v>
      </c>
      <c r="K97" s="19">
        <f t="shared" si="7"/>
        <v>51812.389380530978</v>
      </c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</row>
    <row r="98" spans="1:57" x14ac:dyDescent="0.2">
      <c r="A98" s="8"/>
      <c r="B98" s="8"/>
      <c r="C98" s="9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</row>
    <row r="99" spans="1:57" x14ac:dyDescent="0.2">
      <c r="A99" s="8"/>
      <c r="B99" s="8"/>
      <c r="C99" s="9" t="s">
        <v>69</v>
      </c>
      <c r="D99" s="10"/>
      <c r="E99" s="10"/>
      <c r="F99" s="10"/>
      <c r="G99" s="10"/>
      <c r="H99" s="10"/>
      <c r="I99" s="10"/>
      <c r="J99" s="35" t="str">
        <f>D64</f>
        <v>Significant</v>
      </c>
      <c r="K99" s="35" t="str">
        <f>D65</f>
        <v>Major</v>
      </c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</row>
    <row r="100" spans="1:57" x14ac:dyDescent="0.2">
      <c r="A100" s="8"/>
      <c r="B100" s="8"/>
      <c r="C100" s="9"/>
      <c r="D100" s="10" t="s">
        <v>70</v>
      </c>
      <c r="E100" s="10"/>
      <c r="F100" s="10"/>
      <c r="G100" s="10"/>
      <c r="H100" s="10"/>
      <c r="I100" s="10"/>
      <c r="J100" s="18">
        <v>0</v>
      </c>
      <c r="K100" s="18">
        <v>0</v>
      </c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</row>
    <row r="101" spans="1:57" x14ac:dyDescent="0.2">
      <c r="A101" s="8"/>
      <c r="B101" s="8"/>
      <c r="C101" s="9"/>
      <c r="D101" s="10" t="s">
        <v>71</v>
      </c>
      <c r="E101" s="10"/>
      <c r="F101" s="10"/>
      <c r="G101" s="10"/>
      <c r="H101" s="10"/>
      <c r="I101" s="10"/>
      <c r="J101" s="18">
        <v>0</v>
      </c>
      <c r="K101" s="18">
        <v>0</v>
      </c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</row>
    <row r="102" spans="1:57" x14ac:dyDescent="0.2">
      <c r="A102" s="8"/>
      <c r="B102" s="8"/>
      <c r="C102" s="9"/>
      <c r="D102" s="10" t="s">
        <v>72</v>
      </c>
      <c r="E102" s="10"/>
      <c r="F102" s="10"/>
      <c r="G102" s="10"/>
      <c r="H102" s="10"/>
      <c r="I102" s="10"/>
      <c r="J102" s="18">
        <v>0.05</v>
      </c>
      <c r="K102" s="18">
        <v>5</v>
      </c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</row>
    <row r="103" spans="1:57" x14ac:dyDescent="0.2">
      <c r="A103" s="8"/>
      <c r="B103" s="8"/>
      <c r="C103" s="9"/>
      <c r="D103" s="10" t="s">
        <v>73</v>
      </c>
      <c r="E103" s="10"/>
      <c r="F103" s="10"/>
      <c r="G103" s="10"/>
      <c r="H103" s="10"/>
      <c r="I103" s="10"/>
      <c r="J103" s="18">
        <v>10</v>
      </c>
      <c r="K103" s="18">
        <v>40</v>
      </c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</row>
    <row r="104" spans="1:57" x14ac:dyDescent="0.2">
      <c r="A104" s="8"/>
      <c r="B104" s="8"/>
      <c r="C104" s="9"/>
      <c r="D104" s="29" t="s">
        <v>74</v>
      </c>
      <c r="E104" s="29"/>
      <c r="F104" s="29"/>
      <c r="G104" s="29"/>
      <c r="H104" s="29"/>
      <c r="I104" s="29"/>
      <c r="J104" s="18">
        <v>3</v>
      </c>
      <c r="K104" s="18">
        <v>5</v>
      </c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</row>
    <row r="105" spans="1:57" x14ac:dyDescent="0.2">
      <c r="A105" s="8"/>
      <c r="B105" s="8"/>
      <c r="C105" s="9"/>
      <c r="D105" s="10" t="s">
        <v>75</v>
      </c>
      <c r="E105" s="10"/>
      <c r="F105" s="10"/>
      <c r="G105" s="10"/>
      <c r="H105" s="10"/>
      <c r="I105" s="10"/>
      <c r="J105" s="36">
        <f>SUMPRODUCT($K$94:$K$96,J102:J104)</f>
        <v>12124.09911504425</v>
      </c>
      <c r="K105" s="36">
        <f t="shared" ref="K105" si="8">SUMPRODUCT($K$94:$K$96,K102:K104)</f>
        <v>95334.796460177007</v>
      </c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</row>
    <row r="106" spans="1:57" x14ac:dyDescent="0.2">
      <c r="A106" s="8"/>
      <c r="B106" s="8"/>
      <c r="C106" s="9"/>
      <c r="D106" s="10" t="s">
        <v>76</v>
      </c>
      <c r="E106" s="10"/>
      <c r="F106" s="10"/>
      <c r="G106" s="10"/>
      <c r="H106" s="10"/>
      <c r="I106" s="10"/>
      <c r="J106" s="19">
        <f>SUMPRODUCT($K$93:$K$96,J101:J104)</f>
        <v>12124.09911504425</v>
      </c>
      <c r="K106" s="19">
        <f t="shared" ref="K106" si="9">SUMPRODUCT($K$93:$K$96,K101:K104)</f>
        <v>95334.796460177007</v>
      </c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</row>
    <row r="107" spans="1:57" x14ac:dyDescent="0.2">
      <c r="A107" s="8"/>
      <c r="B107" s="8"/>
      <c r="C107" s="9"/>
      <c r="D107" s="29" t="s">
        <v>77</v>
      </c>
      <c r="E107" s="29"/>
      <c r="F107" s="29"/>
      <c r="G107" s="29"/>
      <c r="H107" s="29"/>
      <c r="I107" s="29"/>
      <c r="J107" s="19">
        <f>SUMPRODUCT($K$92:$K$96,J100:J104)</f>
        <v>12124.09911504425</v>
      </c>
      <c r="K107" s="19">
        <f t="shared" ref="K107" si="10">SUMPRODUCT($K$92:$K$96,K100:K104)</f>
        <v>95334.796460177007</v>
      </c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</row>
    <row r="108" spans="1:57" x14ac:dyDescent="0.2">
      <c r="A108" s="8"/>
      <c r="B108" s="8"/>
      <c r="C108" s="9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</row>
    <row r="109" spans="1:57" x14ac:dyDescent="0.2">
      <c r="A109" s="11" t="s">
        <v>78</v>
      </c>
      <c r="B109" s="11"/>
      <c r="C109" s="12"/>
      <c r="D109" s="13"/>
      <c r="E109" s="13"/>
      <c r="F109" s="13"/>
      <c r="G109" s="13"/>
      <c r="H109" s="13"/>
      <c r="I109" s="13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</row>
    <row r="110" spans="1:57" x14ac:dyDescent="0.2">
      <c r="A110" s="8"/>
      <c r="B110" s="8"/>
      <c r="C110" s="9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</row>
    <row r="111" spans="1:57" x14ac:dyDescent="0.2">
      <c r="A111" s="8"/>
      <c r="B111" s="8" t="s">
        <v>79</v>
      </c>
      <c r="C111" s="9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</row>
    <row r="112" spans="1:57" x14ac:dyDescent="0.2">
      <c r="A112" s="8"/>
      <c r="B112" s="8"/>
      <c r="C112" s="9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</row>
    <row r="113" spans="1:57" x14ac:dyDescent="0.2">
      <c r="A113" s="8"/>
      <c r="B113" s="8"/>
      <c r="C113" s="9" t="s">
        <v>80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</row>
    <row r="114" spans="1:57" x14ac:dyDescent="0.2">
      <c r="A114" s="8"/>
      <c r="B114" s="8"/>
      <c r="C114" s="9"/>
      <c r="D114" s="10" t="s">
        <v>81</v>
      </c>
      <c r="E114" s="10"/>
      <c r="F114" s="10"/>
      <c r="G114" s="10"/>
      <c r="H114" s="10"/>
      <c r="I114" s="10"/>
      <c r="J114" s="18">
        <v>1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</row>
    <row r="115" spans="1:57" x14ac:dyDescent="0.2">
      <c r="A115" s="8"/>
      <c r="B115" s="8"/>
      <c r="C115" s="9"/>
      <c r="D115" s="10" t="s">
        <v>82</v>
      </c>
      <c r="E115" s="10"/>
      <c r="F115" s="10"/>
      <c r="G115" s="10"/>
      <c r="H115" s="10"/>
      <c r="I115" s="10"/>
      <c r="J115" s="18">
        <v>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</row>
    <row r="116" spans="1:57" x14ac:dyDescent="0.2">
      <c r="A116" s="8"/>
      <c r="B116" s="8"/>
      <c r="C116" s="9"/>
      <c r="D116" s="10" t="s">
        <v>83</v>
      </c>
      <c r="E116" s="10"/>
      <c r="F116" s="10"/>
      <c r="G116" s="10"/>
      <c r="H116" s="10"/>
      <c r="I116" s="10"/>
      <c r="J116" s="18">
        <v>5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</row>
    <row r="117" spans="1:57" x14ac:dyDescent="0.2">
      <c r="A117" s="8"/>
      <c r="B117" s="8"/>
      <c r="C117" s="9"/>
      <c r="D117" s="10" t="s">
        <v>84</v>
      </c>
      <c r="E117" s="10"/>
      <c r="F117" s="10"/>
      <c r="G117" s="10"/>
      <c r="H117" s="10"/>
      <c r="I117" s="10"/>
      <c r="J117" s="19">
        <f>ROUNDUP($J$115/$J$116,0)</f>
        <v>1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</row>
    <row r="118" spans="1:57" x14ac:dyDescent="0.2">
      <c r="A118" s="8"/>
      <c r="B118" s="8"/>
      <c r="C118" s="9"/>
      <c r="D118" s="10" t="s">
        <v>85</v>
      </c>
      <c r="E118" s="10"/>
      <c r="F118" s="10"/>
      <c r="G118" s="10"/>
      <c r="H118" s="10"/>
      <c r="I118" s="10"/>
      <c r="J118" s="18">
        <v>3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</row>
    <row r="119" spans="1:57" x14ac:dyDescent="0.2">
      <c r="A119" s="8"/>
      <c r="B119" s="8"/>
      <c r="C119" s="9"/>
      <c r="D119" s="10" t="s">
        <v>86</v>
      </c>
      <c r="E119" s="10"/>
      <c r="F119" s="10"/>
      <c r="G119" s="10"/>
      <c r="H119" s="10"/>
      <c r="I119" s="10"/>
      <c r="J119" s="18">
        <v>270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</row>
    <row r="120" spans="1:57" x14ac:dyDescent="0.2">
      <c r="A120" s="8"/>
      <c r="B120" s="8"/>
      <c r="C120" s="9"/>
      <c r="D120" s="10" t="s">
        <v>87</v>
      </c>
      <c r="E120" s="10"/>
      <c r="F120" s="10"/>
      <c r="G120" s="10"/>
      <c r="H120" s="10"/>
      <c r="I120" s="10"/>
      <c r="J120" s="18">
        <v>7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</row>
    <row r="121" spans="1:57" x14ac:dyDescent="0.2">
      <c r="A121" s="8"/>
      <c r="B121" s="8"/>
      <c r="C121" s="9"/>
      <c r="D121" s="10" t="s">
        <v>88</v>
      </c>
      <c r="E121" s="10"/>
      <c r="F121" s="10"/>
      <c r="G121" s="10"/>
      <c r="H121" s="10"/>
      <c r="I121" s="10"/>
      <c r="J121" s="18">
        <v>5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</row>
    <row r="122" spans="1:57" x14ac:dyDescent="0.2">
      <c r="A122" s="8"/>
      <c r="B122" s="8"/>
      <c r="C122" s="9"/>
      <c r="D122" s="10" t="s">
        <v>89</v>
      </c>
      <c r="E122" s="10"/>
      <c r="F122" s="10"/>
      <c r="G122" s="10"/>
      <c r="H122" s="10"/>
      <c r="I122" s="10"/>
      <c r="J122" s="18">
        <v>16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</row>
    <row r="123" spans="1:57" x14ac:dyDescent="0.2">
      <c r="A123" s="8"/>
      <c r="B123" s="8"/>
      <c r="C123" s="9"/>
      <c r="D123" s="29" t="s">
        <v>90</v>
      </c>
      <c r="E123" s="29"/>
      <c r="F123" s="29"/>
      <c r="G123" s="29"/>
      <c r="H123" s="29"/>
      <c r="I123" s="29"/>
      <c r="J123" s="18">
        <v>24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</row>
    <row r="124" spans="1:57" x14ac:dyDescent="0.2">
      <c r="A124" s="8"/>
      <c r="B124" s="8"/>
      <c r="C124" s="9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</row>
    <row r="125" spans="1:57" x14ac:dyDescent="0.2">
      <c r="A125" s="8"/>
      <c r="B125" s="8"/>
      <c r="C125" s="9" t="s">
        <v>91</v>
      </c>
      <c r="D125" s="10"/>
      <c r="E125" s="10"/>
      <c r="F125" s="10"/>
      <c r="G125" s="10"/>
      <c r="H125" s="10"/>
      <c r="I125" s="10"/>
      <c r="J125" s="37" t="str">
        <f>J99</f>
        <v>Significant</v>
      </c>
      <c r="K125" s="37" t="str">
        <f t="shared" ref="K125" si="11">K99</f>
        <v>Major</v>
      </c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</row>
    <row r="126" spans="1:57" x14ac:dyDescent="0.2">
      <c r="A126" s="8"/>
      <c r="B126" s="8"/>
      <c r="C126" s="9"/>
      <c r="D126" s="29" t="s">
        <v>92</v>
      </c>
      <c r="E126" s="29"/>
      <c r="F126" s="29"/>
      <c r="G126" s="29"/>
      <c r="H126" s="29"/>
      <c r="I126" s="29"/>
      <c r="J126" s="18">
        <v>2</v>
      </c>
      <c r="K126" s="18">
        <v>0</v>
      </c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</row>
    <row r="127" spans="1:57" x14ac:dyDescent="0.2">
      <c r="A127" s="8"/>
      <c r="B127" s="8"/>
      <c r="C127" s="9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</row>
    <row r="128" spans="1:57" x14ac:dyDescent="0.2">
      <c r="A128" s="8"/>
      <c r="B128" s="8"/>
      <c r="C128" s="9"/>
      <c r="D128" s="10" t="s">
        <v>93</v>
      </c>
      <c r="E128" s="10"/>
      <c r="F128" s="10"/>
      <c r="G128" s="10"/>
      <c r="H128" s="10"/>
      <c r="I128" s="10"/>
      <c r="J128" s="18">
        <v>2</v>
      </c>
      <c r="K128" s="18">
        <v>12</v>
      </c>
      <c r="L128" s="32"/>
      <c r="M128" s="32"/>
      <c r="N128" s="32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</row>
    <row r="129" spans="1:57" x14ac:dyDescent="0.2">
      <c r="A129" s="8"/>
      <c r="B129" s="8"/>
      <c r="C129" s="9"/>
      <c r="D129" s="10" t="s">
        <v>94</v>
      </c>
      <c r="E129" s="10"/>
      <c r="F129" s="10"/>
      <c r="G129" s="10"/>
      <c r="H129" s="10"/>
      <c r="I129" s="10"/>
      <c r="J129" s="19">
        <f>AVERAGE(O193:Z193)</f>
        <v>0</v>
      </c>
      <c r="K129" s="19">
        <f>AVERAGE(O194:Z194)</f>
        <v>16.377725000000002</v>
      </c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</row>
    <row r="130" spans="1:57" x14ac:dyDescent="0.2">
      <c r="A130" s="8"/>
      <c r="B130" s="8"/>
      <c r="C130" s="9"/>
      <c r="D130" s="10" t="s">
        <v>95</v>
      </c>
      <c r="E130" s="10"/>
      <c r="F130" s="10"/>
      <c r="G130" s="10"/>
      <c r="H130" s="10"/>
      <c r="I130" s="10"/>
      <c r="J130" s="19">
        <f>ROUNDUP(J129/$J$114,0)</f>
        <v>0</v>
      </c>
      <c r="K130" s="19">
        <f t="shared" ref="K130" si="12">ROUNDUP(K129/$J$114,0)</f>
        <v>17</v>
      </c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</row>
    <row r="131" spans="1:57" x14ac:dyDescent="0.2">
      <c r="A131" s="8"/>
      <c r="B131" s="8"/>
      <c r="C131" s="9"/>
      <c r="D131" s="10" t="s">
        <v>96</v>
      </c>
      <c r="E131" s="10"/>
      <c r="F131" s="10"/>
      <c r="G131" s="10"/>
      <c r="H131" s="10"/>
      <c r="I131" s="10"/>
      <c r="J131" s="19">
        <f>ROUNDUP(J130/$J$115,0)</f>
        <v>0</v>
      </c>
      <c r="K131" s="19">
        <f>ROUNDUP(K130/$J$115,0)</f>
        <v>5</v>
      </c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</row>
    <row r="132" spans="1:57" x14ac:dyDescent="0.2">
      <c r="A132" s="8"/>
      <c r="B132" s="8"/>
      <c r="C132" s="9"/>
      <c r="D132" s="29" t="s">
        <v>97</v>
      </c>
      <c r="E132" s="29"/>
      <c r="F132" s="29"/>
      <c r="G132" s="29"/>
      <c r="H132" s="29"/>
      <c r="I132" s="29"/>
      <c r="J132" s="19">
        <f>ROUNDUP(J131/$J$118,0)</f>
        <v>0</v>
      </c>
      <c r="K132" s="19">
        <f t="shared" ref="K132" si="13">ROUNDUP(K131/$J$118,0)</f>
        <v>2</v>
      </c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</row>
    <row r="133" spans="1:57" x14ac:dyDescent="0.2">
      <c r="A133" s="8"/>
      <c r="B133" s="8"/>
      <c r="C133" s="9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</row>
    <row r="134" spans="1:57" x14ac:dyDescent="0.2">
      <c r="A134" s="8"/>
      <c r="B134" s="8"/>
      <c r="C134" s="9" t="s">
        <v>98</v>
      </c>
      <c r="D134" s="10"/>
      <c r="E134" s="10"/>
      <c r="F134" s="10"/>
      <c r="G134" s="10"/>
      <c r="H134" s="10"/>
      <c r="I134" s="10"/>
      <c r="J134" s="10" t="s">
        <v>61</v>
      </c>
      <c r="K134" s="10" t="s">
        <v>62</v>
      </c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</row>
    <row r="135" spans="1:57" x14ac:dyDescent="0.2">
      <c r="A135" s="8"/>
      <c r="B135" s="8"/>
      <c r="C135" s="9"/>
      <c r="D135" s="10" t="s">
        <v>99</v>
      </c>
      <c r="E135" s="10"/>
      <c r="F135" s="10"/>
      <c r="G135" s="10"/>
      <c r="H135" s="10"/>
      <c r="I135" s="10"/>
      <c r="J135" s="18">
        <v>7000</v>
      </c>
      <c r="K135" s="19">
        <f t="shared" ref="K135:K146" si="14">J135*HLOOKUP($J$10,$O$16:$Z$17,2,0)</f>
        <v>7253.7345132743367</v>
      </c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</row>
    <row r="136" spans="1:57" x14ac:dyDescent="0.2">
      <c r="A136" s="8"/>
      <c r="B136" s="8"/>
      <c r="C136" s="9"/>
      <c r="D136" s="10" t="s">
        <v>100</v>
      </c>
      <c r="E136" s="10"/>
      <c r="F136" s="10"/>
      <c r="G136" s="10"/>
      <c r="H136" s="10"/>
      <c r="I136" s="10"/>
      <c r="J136" s="18">
        <v>1.5</v>
      </c>
      <c r="K136" s="19">
        <f t="shared" si="14"/>
        <v>1.5543716814159292</v>
      </c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</row>
    <row r="137" spans="1:57" x14ac:dyDescent="0.2">
      <c r="A137" s="8"/>
      <c r="B137" s="8"/>
      <c r="C137" s="9"/>
      <c r="D137" s="10" t="s">
        <v>101</v>
      </c>
      <c r="E137" s="10"/>
      <c r="F137" s="10"/>
      <c r="G137" s="10"/>
      <c r="H137" s="10"/>
      <c r="I137" s="10"/>
      <c r="J137" s="18">
        <v>150</v>
      </c>
      <c r="K137" s="19">
        <f t="shared" si="14"/>
        <v>155.43716814159293</v>
      </c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</row>
    <row r="138" spans="1:57" x14ac:dyDescent="0.2">
      <c r="A138" s="8"/>
      <c r="B138" s="8"/>
      <c r="C138" s="9"/>
      <c r="D138" s="10" t="s">
        <v>102</v>
      </c>
      <c r="E138" s="10"/>
      <c r="F138" s="10"/>
      <c r="G138" s="10"/>
      <c r="H138" s="10"/>
      <c r="I138" s="10"/>
      <c r="J138" s="18">
        <v>10000</v>
      </c>
      <c r="K138" s="19">
        <f t="shared" si="14"/>
        <v>10362.477876106195</v>
      </c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</row>
    <row r="139" spans="1:57" x14ac:dyDescent="0.2">
      <c r="A139" s="8"/>
      <c r="B139" s="8"/>
      <c r="C139" s="9"/>
      <c r="D139" s="10" t="s">
        <v>103</v>
      </c>
      <c r="E139" s="10"/>
      <c r="F139" s="10"/>
      <c r="G139" s="10"/>
      <c r="H139" s="10"/>
      <c r="I139" s="10"/>
      <c r="J139" s="18">
        <v>7000</v>
      </c>
      <c r="K139" s="19">
        <f t="shared" si="14"/>
        <v>7253.7345132743367</v>
      </c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</row>
    <row r="140" spans="1:57" x14ac:dyDescent="0.2">
      <c r="A140" s="8"/>
      <c r="B140" s="8"/>
      <c r="C140" s="9"/>
      <c r="D140" s="10" t="s">
        <v>104</v>
      </c>
      <c r="E140" s="10"/>
      <c r="F140" s="10"/>
      <c r="G140" s="10"/>
      <c r="H140" s="10"/>
      <c r="I140" s="10"/>
      <c r="J140" s="18">
        <v>2000</v>
      </c>
      <c r="K140" s="19">
        <f t="shared" si="14"/>
        <v>2072.4955752212391</v>
      </c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</row>
    <row r="141" spans="1:57" x14ac:dyDescent="0.2">
      <c r="A141" s="8"/>
      <c r="B141" s="8"/>
      <c r="C141" s="9"/>
      <c r="D141" s="10" t="s">
        <v>105</v>
      </c>
      <c r="E141" s="10"/>
      <c r="F141" s="10"/>
      <c r="G141" s="10"/>
      <c r="H141" s="10"/>
      <c r="I141" s="10"/>
      <c r="J141" s="18">
        <v>3000</v>
      </c>
      <c r="K141" s="19">
        <f t="shared" si="14"/>
        <v>3108.7433628318586</v>
      </c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</row>
    <row r="142" spans="1:57" x14ac:dyDescent="0.2">
      <c r="A142" s="8"/>
      <c r="B142" s="8"/>
      <c r="C142" s="9"/>
      <c r="D142" s="10" t="s">
        <v>106</v>
      </c>
      <c r="E142" s="10"/>
      <c r="F142" s="10"/>
      <c r="G142" s="10"/>
      <c r="H142" s="10"/>
      <c r="I142" s="10"/>
      <c r="J142" s="18">
        <v>2000</v>
      </c>
      <c r="K142" s="19">
        <f t="shared" si="14"/>
        <v>2072.4955752212391</v>
      </c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</row>
    <row r="143" spans="1:57" x14ac:dyDescent="0.2">
      <c r="A143" s="8"/>
      <c r="B143" s="8"/>
      <c r="C143" s="9"/>
      <c r="D143" s="10" t="s">
        <v>107</v>
      </c>
      <c r="E143" s="10"/>
      <c r="F143" s="10"/>
      <c r="G143" s="10"/>
      <c r="H143" s="10"/>
      <c r="I143" s="10"/>
      <c r="J143" s="18">
        <v>2500</v>
      </c>
      <c r="K143" s="19">
        <f t="shared" si="14"/>
        <v>2590.6194690265488</v>
      </c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</row>
    <row r="144" spans="1:57" x14ac:dyDescent="0.2">
      <c r="A144" s="8"/>
      <c r="B144" s="8"/>
      <c r="C144" s="9"/>
      <c r="D144" s="10" t="s">
        <v>108</v>
      </c>
      <c r="E144" s="10"/>
      <c r="F144" s="10"/>
      <c r="G144" s="10"/>
      <c r="H144" s="10"/>
      <c r="I144" s="10"/>
      <c r="J144" s="18">
        <v>4000</v>
      </c>
      <c r="K144" s="19">
        <f t="shared" si="14"/>
        <v>4144.9911504424781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</row>
    <row r="145" spans="1:57" x14ac:dyDescent="0.2">
      <c r="A145" s="8"/>
      <c r="B145" s="8"/>
      <c r="C145" s="9"/>
      <c r="D145" s="10" t="s">
        <v>109</v>
      </c>
      <c r="E145" s="10"/>
      <c r="F145" s="10"/>
      <c r="G145" s="10"/>
      <c r="H145" s="10"/>
      <c r="I145" s="10"/>
      <c r="J145" s="18">
        <v>2500</v>
      </c>
      <c r="K145" s="19">
        <f t="shared" si="14"/>
        <v>2590.6194690265488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</row>
    <row r="146" spans="1:57" x14ac:dyDescent="0.2">
      <c r="A146" s="8"/>
      <c r="B146" s="8"/>
      <c r="C146" s="9"/>
      <c r="D146" s="29" t="s">
        <v>110</v>
      </c>
      <c r="E146" s="29"/>
      <c r="F146" s="29"/>
      <c r="G146" s="29"/>
      <c r="H146" s="29"/>
      <c r="I146" s="29"/>
      <c r="J146" s="18">
        <v>3000</v>
      </c>
      <c r="K146" s="19">
        <f t="shared" si="14"/>
        <v>3108.7433628318586</v>
      </c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</row>
    <row r="147" spans="1:57" x14ac:dyDescent="0.2">
      <c r="A147" s="8"/>
      <c r="B147" s="8"/>
      <c r="C147" s="9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</row>
    <row r="148" spans="1:57" x14ac:dyDescent="0.2">
      <c r="A148" s="8"/>
      <c r="B148" s="8"/>
      <c r="C148" s="9" t="s">
        <v>111</v>
      </c>
      <c r="D148" s="10"/>
      <c r="E148" s="10"/>
      <c r="F148" s="10"/>
      <c r="G148" s="10"/>
      <c r="H148" s="10"/>
      <c r="I148" s="10"/>
      <c r="J148" s="37" t="str">
        <f>J125</f>
        <v>Significant</v>
      </c>
      <c r="K148" s="37" t="str">
        <f>K125</f>
        <v>Major</v>
      </c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</row>
    <row r="149" spans="1:57" x14ac:dyDescent="0.2">
      <c r="A149" s="8"/>
      <c r="B149" s="8"/>
      <c r="C149" s="9"/>
      <c r="D149" s="10" t="s">
        <v>112</v>
      </c>
      <c r="E149" s="10"/>
      <c r="F149" s="10"/>
      <c r="G149" s="10"/>
      <c r="H149" s="10"/>
      <c r="I149" s="10"/>
      <c r="J149" s="19">
        <f>IFERROR((J130*$K135)*(J128+(J132/J128)),0)</f>
        <v>0</v>
      </c>
      <c r="K149" s="19">
        <f>IFERROR((K130*$K135)*(K128+(K132/K128)),0)</f>
        <v>1500314.0884955751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</row>
    <row r="150" spans="1:57" x14ac:dyDescent="0.2">
      <c r="A150" s="8"/>
      <c r="B150" s="8"/>
      <c r="C150" s="9"/>
      <c r="D150" s="10" t="s">
        <v>113</v>
      </c>
      <c r="E150" s="10"/>
      <c r="F150" s="10"/>
      <c r="G150" s="10"/>
      <c r="H150" s="10"/>
      <c r="I150" s="10"/>
      <c r="J150" s="19">
        <f>(J128*$J$120*$J$123)*(J129*$L$75*$J$119*$K136)</f>
        <v>0</v>
      </c>
      <c r="K150" s="19">
        <f>(K128*$J$120*$J$123)*(K129*$L$75*$J$119*$K136)</f>
        <v>6980895.9349789415</v>
      </c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</row>
    <row r="151" spans="1:57" x14ac:dyDescent="0.2">
      <c r="A151" s="8"/>
      <c r="B151" s="8"/>
      <c r="C151" s="9"/>
      <c r="D151" s="10" t="s">
        <v>114</v>
      </c>
      <c r="E151" s="10"/>
      <c r="F151" s="10"/>
      <c r="G151" s="10"/>
      <c r="H151" s="10"/>
      <c r="I151" s="10"/>
      <c r="J151" s="19">
        <f t="shared" ref="J151:K151" si="15">($K137*$J$122*$J$121*J131)
+($K137*J131*$J$123*J128*$J$120)</f>
        <v>0</v>
      </c>
      <c r="K151" s="19">
        <f t="shared" si="15"/>
        <v>1628981.5221238942</v>
      </c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</row>
    <row r="152" spans="1:57" x14ac:dyDescent="0.2">
      <c r="A152" s="8"/>
      <c r="B152" s="8"/>
      <c r="C152" s="9"/>
      <c r="D152" s="10" t="s">
        <v>115</v>
      </c>
      <c r="E152" s="10"/>
      <c r="F152" s="10"/>
      <c r="G152" s="10"/>
      <c r="H152" s="10"/>
      <c r="I152" s="10"/>
      <c r="J152" s="19">
        <f>$K138*J128*$J$120*J131</f>
        <v>0</v>
      </c>
      <c r="K152" s="19">
        <f>$K138*K128*$J$120*K131</f>
        <v>4352240.707964601</v>
      </c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</row>
    <row r="153" spans="1:57" x14ac:dyDescent="0.2">
      <c r="A153" s="8"/>
      <c r="B153" s="8"/>
      <c r="C153" s="9"/>
      <c r="D153" s="10" t="s">
        <v>116</v>
      </c>
      <c r="E153" s="10"/>
      <c r="F153" s="10"/>
      <c r="G153" s="10"/>
      <c r="H153" s="10"/>
      <c r="I153" s="10"/>
      <c r="J153" s="19">
        <f>IFERROR((J131*$J$117*$K139)*(J128+(J132/J128)),0)</f>
        <v>0</v>
      </c>
      <c r="K153" s="19">
        <f>IFERROR((K131*$J$117*$K139)*(K128+(K132/K128)),0)</f>
        <v>441268.84955752216</v>
      </c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</row>
    <row r="154" spans="1:57" x14ac:dyDescent="0.2">
      <c r="A154" s="8"/>
      <c r="B154" s="8"/>
      <c r="C154" s="9"/>
      <c r="D154" s="10" t="s">
        <v>117</v>
      </c>
      <c r="E154" s="10"/>
      <c r="F154" s="10"/>
      <c r="G154" s="10"/>
      <c r="H154" s="10"/>
      <c r="I154" s="10"/>
      <c r="J154" s="19">
        <f>$K140*J131</f>
        <v>0</v>
      </c>
      <c r="K154" s="19">
        <f>$K140*K131</f>
        <v>10362.477876106195</v>
      </c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</row>
    <row r="155" spans="1:57" x14ac:dyDescent="0.2">
      <c r="A155" s="8"/>
      <c r="B155" s="8"/>
      <c r="C155" s="9"/>
      <c r="D155" s="10" t="s">
        <v>118</v>
      </c>
      <c r="E155" s="10"/>
      <c r="F155" s="10"/>
      <c r="G155" s="10"/>
      <c r="H155" s="10"/>
      <c r="I155" s="10"/>
      <c r="J155" s="19">
        <f>$K141*J128*J131</f>
        <v>0</v>
      </c>
      <c r="K155" s="19">
        <f>$K141*K128*K131</f>
        <v>186524.60176991153</v>
      </c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</row>
    <row r="156" spans="1:57" x14ac:dyDescent="0.2">
      <c r="A156" s="8"/>
      <c r="B156" s="8"/>
      <c r="C156" s="9"/>
      <c r="D156" s="10" t="s">
        <v>119</v>
      </c>
      <c r="E156" s="10"/>
      <c r="F156" s="10"/>
      <c r="G156" s="10"/>
      <c r="H156" s="10"/>
      <c r="I156" s="10"/>
      <c r="J156" s="19">
        <f>$K142*J131</f>
        <v>0</v>
      </c>
      <c r="K156" s="19">
        <f>$K142*K131</f>
        <v>10362.477876106195</v>
      </c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</row>
    <row r="157" spans="1:57" x14ac:dyDescent="0.2">
      <c r="A157" s="8"/>
      <c r="B157" s="8"/>
      <c r="C157" s="9"/>
      <c r="D157" s="10" t="s">
        <v>120</v>
      </c>
      <c r="E157" s="10"/>
      <c r="F157" s="10"/>
      <c r="G157" s="10"/>
      <c r="H157" s="10"/>
      <c r="I157" s="10"/>
      <c r="J157" s="19">
        <f>$K143*J131</f>
        <v>0</v>
      </c>
      <c r="K157" s="19">
        <f>$K143*K131</f>
        <v>12953.097345132745</v>
      </c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</row>
    <row r="158" spans="1:57" x14ac:dyDescent="0.2">
      <c r="A158" s="8"/>
      <c r="B158" s="8"/>
      <c r="C158" s="9"/>
      <c r="D158" s="10" t="s">
        <v>121</v>
      </c>
      <c r="E158" s="10"/>
      <c r="F158" s="10"/>
      <c r="G158" s="10"/>
      <c r="H158" s="10"/>
      <c r="I158" s="10"/>
      <c r="J158" s="19">
        <f>$K144*J131</f>
        <v>0</v>
      </c>
      <c r="K158" s="19">
        <f>$K144*K131</f>
        <v>20724.955752212391</v>
      </c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</row>
    <row r="159" spans="1:57" x14ac:dyDescent="0.2">
      <c r="A159" s="8"/>
      <c r="B159" s="8"/>
      <c r="C159" s="9"/>
      <c r="D159" s="10" t="s">
        <v>122</v>
      </c>
      <c r="E159" s="10"/>
      <c r="F159" s="10"/>
      <c r="G159" s="10"/>
      <c r="H159" s="10"/>
      <c r="I159" s="10"/>
      <c r="J159" s="19">
        <f>$K145*J131</f>
        <v>0</v>
      </c>
      <c r="K159" s="19">
        <f>$K145*K131</f>
        <v>12953.097345132745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</row>
    <row r="160" spans="1:57" x14ac:dyDescent="0.2">
      <c r="A160" s="8"/>
      <c r="B160" s="8"/>
      <c r="C160" s="9"/>
      <c r="D160" s="29" t="s">
        <v>123</v>
      </c>
      <c r="E160" s="29"/>
      <c r="F160" s="29"/>
      <c r="G160" s="29"/>
      <c r="H160" s="29"/>
      <c r="I160" s="29"/>
      <c r="J160" s="19">
        <f>$K146*J131</f>
        <v>0</v>
      </c>
      <c r="K160" s="19">
        <f>$K146*K131</f>
        <v>15543.716814159292</v>
      </c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</row>
    <row r="161" spans="1:57" x14ac:dyDescent="0.2">
      <c r="A161" s="8"/>
      <c r="B161" s="8"/>
      <c r="C161" s="9"/>
      <c r="D161" s="10" t="s">
        <v>49</v>
      </c>
      <c r="E161" s="10"/>
      <c r="F161" s="10"/>
      <c r="G161" s="10"/>
      <c r="H161" s="10"/>
      <c r="I161" s="10"/>
      <c r="J161" s="19">
        <f>IF(OR(J126&gt;0,J128=0),0,SUM(J149:J160))</f>
        <v>0</v>
      </c>
      <c r="K161" s="17">
        <f t="shared" ref="K161" si="16">IF(OR(K126&gt;0,K128=0),0,SUM(K149:K160))</f>
        <v>15173125.527899293</v>
      </c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</row>
    <row r="162" spans="1:57" x14ac:dyDescent="0.2">
      <c r="A162" s="8"/>
      <c r="B162" s="8"/>
      <c r="C162" s="9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</row>
    <row r="163" spans="1:57" x14ac:dyDescent="0.2">
      <c r="A163" s="11" t="s">
        <v>124</v>
      </c>
      <c r="B163" s="11"/>
      <c r="C163" s="12"/>
      <c r="D163" s="13"/>
      <c r="E163" s="13"/>
      <c r="F163" s="13"/>
      <c r="G163" s="13"/>
      <c r="H163" s="13"/>
      <c r="I163" s="13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</row>
    <row r="164" spans="1:57" x14ac:dyDescent="0.2">
      <c r="A164" s="8"/>
      <c r="B164" s="8"/>
      <c r="C164" s="9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</row>
    <row r="165" spans="1:57" x14ac:dyDescent="0.2">
      <c r="A165" s="8"/>
      <c r="B165" s="8" t="s">
        <v>125</v>
      </c>
      <c r="C165" s="9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</row>
    <row r="166" spans="1:57" x14ac:dyDescent="0.2">
      <c r="A166" s="8"/>
      <c r="B166" s="8"/>
      <c r="C166" s="9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</row>
    <row r="167" spans="1:57" ht="25.5" x14ac:dyDescent="0.2">
      <c r="A167" s="8"/>
      <c r="B167" s="8"/>
      <c r="C167" s="9" t="s">
        <v>126</v>
      </c>
      <c r="D167" s="10"/>
      <c r="E167" s="10"/>
      <c r="F167" s="10"/>
      <c r="G167" s="10"/>
      <c r="H167" s="10"/>
      <c r="I167" s="10"/>
      <c r="J167" s="31" t="s">
        <v>127</v>
      </c>
      <c r="K167" s="31" t="s">
        <v>128</v>
      </c>
      <c r="L167" s="31" t="s">
        <v>129</v>
      </c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</row>
    <row r="168" spans="1:57" x14ac:dyDescent="0.2">
      <c r="A168" s="8"/>
      <c r="B168" s="8"/>
      <c r="C168" s="9"/>
      <c r="D168" s="10" t="s">
        <v>130</v>
      </c>
      <c r="E168" s="10"/>
      <c r="F168" s="10"/>
      <c r="G168" s="10"/>
      <c r="H168" s="10"/>
      <c r="I168" s="10"/>
      <c r="J168" s="18">
        <v>127274.0425241358</v>
      </c>
      <c r="K168" s="18">
        <v>1</v>
      </c>
      <c r="L168" s="19">
        <f>J168*K168*$W$17</f>
        <v>134627.65386997478</v>
      </c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</row>
    <row r="169" spans="1:57" x14ac:dyDescent="0.2">
      <c r="A169" s="8"/>
      <c r="B169" s="8"/>
      <c r="C169" s="9"/>
      <c r="D169" s="10" t="s">
        <v>131</v>
      </c>
      <c r="E169" s="10"/>
      <c r="F169" s="10"/>
      <c r="G169" s="10"/>
      <c r="H169" s="10"/>
      <c r="I169" s="10"/>
      <c r="J169" s="18">
        <v>672376.88853124285</v>
      </c>
      <c r="K169" s="18">
        <v>2</v>
      </c>
      <c r="L169" s="19">
        <f t="shared" ref="L169:L170" si="17">J169*K169*$W$17</f>
        <v>1422450.6619594295</v>
      </c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</row>
    <row r="170" spans="1:57" x14ac:dyDescent="0.2">
      <c r="A170" s="8"/>
      <c r="B170" s="8"/>
      <c r="C170" s="9"/>
      <c r="D170" s="29" t="s">
        <v>132</v>
      </c>
      <c r="E170" s="29"/>
      <c r="F170" s="29"/>
      <c r="G170" s="29"/>
      <c r="H170" s="29"/>
      <c r="I170" s="29"/>
      <c r="J170" s="18">
        <v>4500000</v>
      </c>
      <c r="K170" s="18">
        <v>3</v>
      </c>
      <c r="L170" s="19">
        <f t="shared" si="17"/>
        <v>14280000.000000002</v>
      </c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</row>
    <row r="171" spans="1:57" x14ac:dyDescent="0.2">
      <c r="A171" s="8"/>
      <c r="B171" s="8"/>
      <c r="C171" s="9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</row>
    <row r="172" spans="1:57" x14ac:dyDescent="0.2">
      <c r="A172" s="8"/>
      <c r="B172" s="8"/>
      <c r="C172" s="9" t="s">
        <v>133</v>
      </c>
      <c r="D172" s="10"/>
      <c r="E172" s="10"/>
      <c r="F172" s="10"/>
      <c r="G172" s="10"/>
      <c r="H172" s="10"/>
      <c r="I172" s="10"/>
      <c r="J172" s="37" t="str">
        <f>J148</f>
        <v>Significant</v>
      </c>
      <c r="K172" s="37" t="str">
        <f t="shared" ref="K172" si="18">K148</f>
        <v>Major</v>
      </c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</row>
    <row r="173" spans="1:57" x14ac:dyDescent="0.2">
      <c r="A173" s="8"/>
      <c r="B173" s="8"/>
      <c r="C173" s="9"/>
      <c r="D173" s="10" t="str">
        <f>D168</f>
        <v>Minor</v>
      </c>
      <c r="E173" s="10"/>
      <c r="F173" s="10"/>
      <c r="G173" s="10"/>
      <c r="H173" s="10"/>
      <c r="I173" s="10"/>
      <c r="J173" s="24">
        <v>7.6923076923076927E-3</v>
      </c>
      <c r="K173" s="24">
        <v>3.8461538461538464E-2</v>
      </c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</row>
    <row r="174" spans="1:57" x14ac:dyDescent="0.2">
      <c r="A174" s="8"/>
      <c r="B174" s="8"/>
      <c r="C174" s="9"/>
      <c r="D174" s="10" t="str">
        <f t="shared" ref="D174:D175" si="19">D169</f>
        <v>Serious</v>
      </c>
      <c r="E174" s="10"/>
      <c r="F174" s="10"/>
      <c r="G174" s="10"/>
      <c r="H174" s="10"/>
      <c r="I174" s="10"/>
      <c r="J174" s="24">
        <v>1.9230769230769232E-3</v>
      </c>
      <c r="K174" s="24">
        <v>9.6153846153846159E-3</v>
      </c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</row>
    <row r="175" spans="1:57" x14ac:dyDescent="0.2">
      <c r="A175" s="8"/>
      <c r="B175" s="8"/>
      <c r="C175" s="9"/>
      <c r="D175" s="29" t="str">
        <f t="shared" si="19"/>
        <v>Fataility</v>
      </c>
      <c r="E175" s="29"/>
      <c r="F175" s="29"/>
      <c r="G175" s="29"/>
      <c r="H175" s="29"/>
      <c r="I175" s="29"/>
      <c r="J175" s="24">
        <v>1.9230769230769233E-4</v>
      </c>
      <c r="K175" s="24">
        <v>9.6153846153846159E-4</v>
      </c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</row>
    <row r="176" spans="1:57" x14ac:dyDescent="0.2">
      <c r="A176" s="8"/>
      <c r="B176" s="8"/>
      <c r="C176" s="9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</row>
    <row r="177" spans="1:57" x14ac:dyDescent="0.2">
      <c r="A177" s="8"/>
      <c r="B177" s="8"/>
      <c r="C177" s="9"/>
      <c r="D177" s="10" t="s">
        <v>134</v>
      </c>
      <c r="E177" s="10"/>
      <c r="F177" s="10"/>
      <c r="G177" s="10"/>
      <c r="H177" s="10"/>
      <c r="I177" s="10"/>
      <c r="J177" s="19">
        <f>SUMPRODUCT($L$168:$L$170,J$173:J$175)</f>
        <v>6517.2332258448641</v>
      </c>
      <c r="K177" s="19">
        <f t="shared" ref="K177" si="20">SUMPRODUCT($L$168:$L$170,K$173:K$175)</f>
        <v>32586.166129224315</v>
      </c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</row>
    <row r="178" spans="1:57" x14ac:dyDescent="0.2">
      <c r="A178" s="8"/>
      <c r="B178" s="8"/>
      <c r="C178" s="9"/>
      <c r="D178" s="29" t="s">
        <v>135</v>
      </c>
      <c r="E178" s="29"/>
      <c r="F178" s="29"/>
      <c r="G178" s="29"/>
      <c r="H178" s="29"/>
      <c r="I178" s="29"/>
      <c r="J178" s="38">
        <f>J177/SUM($L$168:$L$170)</f>
        <v>4.1151739581478158E-4</v>
      </c>
      <c r="K178" s="38">
        <f t="shared" ref="K178" si="21">K177/SUM($L$168:$L$170)</f>
        <v>2.0575869790739076E-3</v>
      </c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</row>
    <row r="179" spans="1:57" x14ac:dyDescent="0.2">
      <c r="A179" s="8"/>
      <c r="B179" s="8"/>
      <c r="C179" s="9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</row>
    <row r="180" spans="1:57" x14ac:dyDescent="0.2">
      <c r="A180" s="11" t="s">
        <v>136</v>
      </c>
      <c r="B180" s="11"/>
      <c r="C180" s="12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</row>
    <row r="181" spans="1:57" x14ac:dyDescent="0.2">
      <c r="A181" s="8"/>
      <c r="B181" s="8"/>
      <c r="C181" s="9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</row>
    <row r="182" spans="1:57" x14ac:dyDescent="0.2">
      <c r="A182" s="8"/>
      <c r="B182" s="8" t="s">
        <v>137</v>
      </c>
      <c r="C182" s="9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</row>
    <row r="183" spans="1:57" x14ac:dyDescent="0.2">
      <c r="A183" s="8"/>
      <c r="B183" s="8"/>
      <c r="C183" s="9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</row>
    <row r="184" spans="1:57" x14ac:dyDescent="0.2">
      <c r="A184" s="8"/>
      <c r="B184" s="8"/>
      <c r="C184" s="9" t="s">
        <v>138</v>
      </c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</row>
    <row r="185" spans="1:57" x14ac:dyDescent="0.2">
      <c r="A185" s="8"/>
      <c r="B185" s="8"/>
      <c r="C185" s="9"/>
      <c r="D185" s="10" t="str">
        <f>TEXT(J185,"0%")&amp;" PoE forecast, MVA"</f>
        <v>10% PoE forecast, MVA</v>
      </c>
      <c r="E185" s="10"/>
      <c r="F185" s="10"/>
      <c r="G185" s="10"/>
      <c r="H185" s="10"/>
      <c r="I185" s="10"/>
      <c r="J185" s="39">
        <v>0.1</v>
      </c>
      <c r="K185" s="10"/>
      <c r="L185" s="10"/>
      <c r="M185" s="10"/>
      <c r="N185" s="10"/>
      <c r="O185" s="18">
        <v>32.973999999999997</v>
      </c>
      <c r="P185" s="18">
        <v>33.311</v>
      </c>
      <c r="Q185" s="18">
        <v>32.837000000000003</v>
      </c>
      <c r="R185" s="18">
        <v>33.247999999999998</v>
      </c>
      <c r="S185" s="18">
        <v>33.671999999999997</v>
      </c>
      <c r="T185" s="18">
        <v>34.451999999999998</v>
      </c>
      <c r="U185" s="18">
        <v>35.854999999999997</v>
      </c>
      <c r="V185" s="18">
        <v>35.854999999999997</v>
      </c>
      <c r="W185" s="18">
        <v>35.854999999999997</v>
      </c>
      <c r="X185" s="18">
        <v>35.854999999999997</v>
      </c>
      <c r="Y185" s="18">
        <v>35.854999999999997</v>
      </c>
      <c r="Z185" s="18">
        <v>35.854999999999997</v>
      </c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</row>
    <row r="186" spans="1:57" x14ac:dyDescent="0.2">
      <c r="A186" s="8"/>
      <c r="B186" s="8"/>
      <c r="C186" s="9"/>
      <c r="D186" s="29" t="str">
        <f>TEXT(J186,"0%")&amp;" PoE forecast, MVA"</f>
        <v>50% PoE forecast, MVA</v>
      </c>
      <c r="E186" s="29"/>
      <c r="F186" s="29"/>
      <c r="G186" s="29"/>
      <c r="H186" s="29"/>
      <c r="I186" s="29"/>
      <c r="J186" s="39">
        <v>0.5</v>
      </c>
      <c r="K186" s="29"/>
      <c r="L186" s="29"/>
      <c r="M186" s="29"/>
      <c r="N186" s="29"/>
      <c r="O186" s="18">
        <v>30.814</v>
      </c>
      <c r="P186" s="18">
        <v>30.805</v>
      </c>
      <c r="Q186" s="18">
        <v>30.827000000000002</v>
      </c>
      <c r="R186" s="18">
        <v>31.247</v>
      </c>
      <c r="S186" s="18">
        <v>31.366</v>
      </c>
      <c r="T186" s="18">
        <v>32.366</v>
      </c>
      <c r="U186" s="18">
        <v>33.04</v>
      </c>
      <c r="V186" s="18">
        <v>33.04</v>
      </c>
      <c r="W186" s="18">
        <v>33.04</v>
      </c>
      <c r="X186" s="18">
        <v>33.04</v>
      </c>
      <c r="Y186" s="18">
        <v>33.04</v>
      </c>
      <c r="Z186" s="18">
        <v>33.04</v>
      </c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</row>
    <row r="187" spans="1:57" x14ac:dyDescent="0.2">
      <c r="A187" s="8"/>
      <c r="B187" s="8"/>
      <c r="C187" s="9"/>
      <c r="D187" s="10" t="s">
        <v>139</v>
      </c>
      <c r="E187" s="10"/>
      <c r="F187" s="10"/>
      <c r="G187" s="10"/>
      <c r="H187" s="10"/>
      <c r="I187" s="10"/>
      <c r="J187" s="40">
        <v>0.7</v>
      </c>
      <c r="K187" s="10"/>
      <c r="L187" s="10"/>
      <c r="M187" s="10"/>
      <c r="N187" s="10"/>
      <c r="O187" s="19">
        <f>O185*(1-$J$187)
+O186*$J$187</f>
        <v>31.461999999999996</v>
      </c>
      <c r="P187" s="19">
        <f t="shared" ref="P187:Z187" si="22">P185*(1-$J$187)
+P186*$J$187</f>
        <v>31.556799999999999</v>
      </c>
      <c r="Q187" s="19">
        <f t="shared" si="22"/>
        <v>31.430000000000003</v>
      </c>
      <c r="R187" s="19">
        <f t="shared" si="22"/>
        <v>31.847299999999997</v>
      </c>
      <c r="S187" s="19">
        <f t="shared" si="22"/>
        <v>32.0578</v>
      </c>
      <c r="T187" s="19">
        <f t="shared" si="22"/>
        <v>32.991799999999998</v>
      </c>
      <c r="U187" s="19">
        <f t="shared" si="22"/>
        <v>33.884499999999996</v>
      </c>
      <c r="V187" s="19">
        <f t="shared" si="22"/>
        <v>33.884499999999996</v>
      </c>
      <c r="W187" s="19">
        <f t="shared" si="22"/>
        <v>33.884499999999996</v>
      </c>
      <c r="X187" s="19">
        <f t="shared" si="22"/>
        <v>33.884499999999996</v>
      </c>
      <c r="Y187" s="19">
        <f t="shared" si="22"/>
        <v>33.884499999999996</v>
      </c>
      <c r="Z187" s="19">
        <f t="shared" si="22"/>
        <v>33.884499999999996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</row>
    <row r="188" spans="1:57" x14ac:dyDescent="0.2">
      <c r="A188" s="8"/>
      <c r="B188" s="8"/>
      <c r="C188" s="9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</row>
    <row r="189" spans="1:57" x14ac:dyDescent="0.2">
      <c r="A189" s="8"/>
      <c r="B189" s="8" t="s">
        <v>140</v>
      </c>
      <c r="C189" s="9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</row>
    <row r="190" spans="1:57" x14ac:dyDescent="0.2">
      <c r="A190" s="8"/>
      <c r="B190" s="8"/>
      <c r="C190" s="9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</row>
    <row r="191" spans="1:57" x14ac:dyDescent="0.2">
      <c r="A191" s="8"/>
      <c r="B191" s="8"/>
      <c r="C191" s="9" t="s">
        <v>146</v>
      </c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</row>
    <row r="192" spans="1:57" x14ac:dyDescent="0.2">
      <c r="A192" s="8"/>
      <c r="B192" s="8"/>
      <c r="C192" s="9"/>
      <c r="D192" s="10" t="s">
        <v>141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9">
        <f>MAX(0,O$187-$J$85-$J80)</f>
        <v>0</v>
      </c>
      <c r="P192" s="19">
        <f t="shared" ref="P192:Z192" si="23">MAX(0,P$187-$J$85-$J80)</f>
        <v>0</v>
      </c>
      <c r="Q192" s="19">
        <f t="shared" si="23"/>
        <v>0</v>
      </c>
      <c r="R192" s="19">
        <f t="shared" si="23"/>
        <v>0</v>
      </c>
      <c r="S192" s="19">
        <f t="shared" si="23"/>
        <v>0</v>
      </c>
      <c r="T192" s="19">
        <f t="shared" si="23"/>
        <v>0</v>
      </c>
      <c r="U192" s="19">
        <f t="shared" si="23"/>
        <v>0</v>
      </c>
      <c r="V192" s="19">
        <f t="shared" si="23"/>
        <v>0</v>
      </c>
      <c r="W192" s="19">
        <f t="shared" si="23"/>
        <v>0</v>
      </c>
      <c r="X192" s="19">
        <f t="shared" si="23"/>
        <v>0</v>
      </c>
      <c r="Y192" s="19">
        <f t="shared" si="23"/>
        <v>0</v>
      </c>
      <c r="Z192" s="19">
        <f t="shared" si="23"/>
        <v>0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</row>
    <row r="193" spans="1:57" x14ac:dyDescent="0.2">
      <c r="A193" s="8"/>
      <c r="B193" s="8"/>
      <c r="C193" s="9"/>
      <c r="D193" s="10" t="s">
        <v>142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9">
        <f t="shared" ref="O193:Z193" si="24">MAX(0,O$187-$J$85-$J81)</f>
        <v>0</v>
      </c>
      <c r="P193" s="19">
        <f t="shared" si="24"/>
        <v>0</v>
      </c>
      <c r="Q193" s="19">
        <f t="shared" si="24"/>
        <v>0</v>
      </c>
      <c r="R193" s="19">
        <f t="shared" si="24"/>
        <v>0</v>
      </c>
      <c r="S193" s="19">
        <f t="shared" si="24"/>
        <v>0</v>
      </c>
      <c r="T193" s="19">
        <f t="shared" si="24"/>
        <v>0</v>
      </c>
      <c r="U193" s="19">
        <f t="shared" si="24"/>
        <v>0</v>
      </c>
      <c r="V193" s="19">
        <f t="shared" si="24"/>
        <v>0</v>
      </c>
      <c r="W193" s="19">
        <f t="shared" si="24"/>
        <v>0</v>
      </c>
      <c r="X193" s="19">
        <f t="shared" si="24"/>
        <v>0</v>
      </c>
      <c r="Y193" s="19">
        <f t="shared" si="24"/>
        <v>0</v>
      </c>
      <c r="Z193" s="19">
        <f t="shared" si="24"/>
        <v>0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</row>
    <row r="194" spans="1:57" x14ac:dyDescent="0.2">
      <c r="A194" s="8"/>
      <c r="B194" s="8"/>
      <c r="C194" s="9"/>
      <c r="D194" s="10" t="s">
        <v>143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9">
        <f t="shared" ref="O194:Z194" si="25">MAX(0,O$187-$J$85-$J82)</f>
        <v>14.951999999999998</v>
      </c>
      <c r="P194" s="19">
        <f t="shared" si="25"/>
        <v>15.046800000000001</v>
      </c>
      <c r="Q194" s="19">
        <f t="shared" si="25"/>
        <v>14.920000000000005</v>
      </c>
      <c r="R194" s="19">
        <f t="shared" si="25"/>
        <v>15.337299999999999</v>
      </c>
      <c r="S194" s="19">
        <f t="shared" si="25"/>
        <v>15.547800000000002</v>
      </c>
      <c r="T194" s="19">
        <f t="shared" si="25"/>
        <v>16.4818</v>
      </c>
      <c r="U194" s="19">
        <f t="shared" si="25"/>
        <v>17.374499999999998</v>
      </c>
      <c r="V194" s="19">
        <f t="shared" si="25"/>
        <v>17.374499999999998</v>
      </c>
      <c r="W194" s="19">
        <f t="shared" si="25"/>
        <v>17.374499999999998</v>
      </c>
      <c r="X194" s="19">
        <f t="shared" si="25"/>
        <v>17.374499999999998</v>
      </c>
      <c r="Y194" s="19">
        <f t="shared" si="25"/>
        <v>17.374499999999998</v>
      </c>
      <c r="Z194" s="19">
        <f t="shared" si="25"/>
        <v>17.374499999999998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</row>
    <row r="195" spans="1:57" x14ac:dyDescent="0.2">
      <c r="A195" s="8"/>
      <c r="B195" s="8"/>
      <c r="C195" s="9"/>
      <c r="D195" s="10" t="s">
        <v>144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9">
        <f t="shared" ref="O195:Z195" si="26">MAX(0,O$187-$J$85-$J83)</f>
        <v>14.951999999999998</v>
      </c>
      <c r="P195" s="19">
        <f t="shared" si="26"/>
        <v>15.046800000000001</v>
      </c>
      <c r="Q195" s="19">
        <f t="shared" si="26"/>
        <v>14.920000000000005</v>
      </c>
      <c r="R195" s="19">
        <f t="shared" si="26"/>
        <v>15.337299999999999</v>
      </c>
      <c r="S195" s="19">
        <f t="shared" si="26"/>
        <v>15.547800000000002</v>
      </c>
      <c r="T195" s="19">
        <f t="shared" si="26"/>
        <v>16.4818</v>
      </c>
      <c r="U195" s="19">
        <f t="shared" si="26"/>
        <v>17.374499999999998</v>
      </c>
      <c r="V195" s="19">
        <f t="shared" si="26"/>
        <v>17.374499999999998</v>
      </c>
      <c r="W195" s="19">
        <f t="shared" si="26"/>
        <v>17.374499999999998</v>
      </c>
      <c r="X195" s="19">
        <f t="shared" si="26"/>
        <v>17.374499999999998</v>
      </c>
      <c r="Y195" s="19">
        <f t="shared" si="26"/>
        <v>17.374499999999998</v>
      </c>
      <c r="Z195" s="19">
        <f t="shared" si="26"/>
        <v>17.374499999999998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</row>
    <row r="196" spans="1:57" x14ac:dyDescent="0.2">
      <c r="A196" s="8"/>
      <c r="B196" s="8"/>
      <c r="C196" s="9"/>
      <c r="D196" s="29" t="s">
        <v>145</v>
      </c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19">
        <f t="shared" ref="O196:Z196" si="27">MAX(0,O$187-$J$85-$J84)</f>
        <v>14.951999999999998</v>
      </c>
      <c r="P196" s="19">
        <f t="shared" si="27"/>
        <v>15.046800000000001</v>
      </c>
      <c r="Q196" s="19">
        <f t="shared" si="27"/>
        <v>14.920000000000005</v>
      </c>
      <c r="R196" s="19">
        <f t="shared" si="27"/>
        <v>15.337299999999999</v>
      </c>
      <c r="S196" s="19">
        <f t="shared" si="27"/>
        <v>15.547800000000002</v>
      </c>
      <c r="T196" s="19">
        <f t="shared" si="27"/>
        <v>16.4818</v>
      </c>
      <c r="U196" s="19">
        <f t="shared" si="27"/>
        <v>17.374499999999998</v>
      </c>
      <c r="V196" s="19">
        <f t="shared" si="27"/>
        <v>17.374499999999998</v>
      </c>
      <c r="W196" s="19">
        <f t="shared" si="27"/>
        <v>17.374499999999998</v>
      </c>
      <c r="X196" s="19">
        <f t="shared" si="27"/>
        <v>17.374499999999998</v>
      </c>
      <c r="Y196" s="19">
        <f t="shared" si="27"/>
        <v>17.374499999999998</v>
      </c>
      <c r="Z196" s="19">
        <f t="shared" si="27"/>
        <v>17.374499999999998</v>
      </c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</row>
    <row r="197" spans="1:57" x14ac:dyDescent="0.2">
      <c r="A197" s="8"/>
      <c r="B197" s="8"/>
      <c r="C197" s="9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</row>
    <row r="198" spans="1:57" x14ac:dyDescent="0.2">
      <c r="A198" s="11" t="s">
        <v>147</v>
      </c>
      <c r="B198" s="11"/>
      <c r="C198" s="12"/>
      <c r="D198" s="13"/>
      <c r="E198" s="13"/>
      <c r="F198" s="13"/>
      <c r="G198" s="13"/>
      <c r="H198" s="13"/>
      <c r="I198" s="13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</row>
    <row r="199" spans="1:57" x14ac:dyDescent="0.2"/>
    <row r="200" spans="1:57" hidden="1" x14ac:dyDescent="0.2"/>
    <row r="201" spans="1:57" hidden="1" x14ac:dyDescent="0.2"/>
    <row r="202" spans="1:57" hidden="1" x14ac:dyDescent="0.2"/>
    <row r="203" spans="1:57" hidden="1" x14ac:dyDescent="0.2"/>
    <row r="204" spans="1:57" hidden="1" x14ac:dyDescent="0.2"/>
    <row r="205" spans="1:57" hidden="1" x14ac:dyDescent="0.2"/>
    <row r="206" spans="1:57" hidden="1" x14ac:dyDescent="0.2"/>
    <row r="207" spans="1:57" hidden="1" x14ac:dyDescent="0.2"/>
    <row r="208" spans="1:57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</sheetData>
  <dataValidations count="1">
    <dataValidation type="list" allowBlank="1" showInputMessage="1" showErrorMessage="1" sqref="J44:O48">
      <formula1>$J$33:$L$33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65"/>
  <sheetViews>
    <sheetView showGridLines="0" topLeftCell="A7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B Switchboard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Base Case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Base case: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148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149</v>
      </c>
      <c r="D8" s="51"/>
      <c r="E8" s="51"/>
      <c r="F8" s="51"/>
      <c r="G8" s="51"/>
      <c r="H8" s="51"/>
      <c r="I8" s="55" t="s">
        <v>28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INDEX(Inputs!$D$52:$O$57,MATCH('Base Case'!$I$8,Inputs!$D$52:$D$57,0),MATCH('Base Case'!$D9,Inputs!$D$52:$O$52,0))</f>
        <v>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INDEX(Inputs!$D$52:$O$57,MATCH('Base Case'!$I$8,Inputs!$D$52:$D$57,0),MATCH('Base Case'!$D10,Inputs!$D$52:$O$52,0))</f>
        <v>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INDEX(Inputs!$D$52:$O$57,MATCH('Base Case'!$I$8,Inputs!$D$52:$D$57,0),MATCH('Base Case'!$D11,Inputs!$D$52:$O$52,0))</f>
        <v>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INDEX(Inputs!$D$52:$O$57,MATCH('Base Case'!$I$8,Inputs!$D$52:$D$57,0),MATCH('Base Case'!$D12,Inputs!$D$52:$O$52,0))</f>
        <v>1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INDEX(Inputs!$D$52:$O$57,MATCH('Base Case'!$I$8,Inputs!$D$52:$D$57,0),MATCH('Base Case'!$D13,Inputs!$D$52:$O$52,0))</f>
        <v>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INDEX(Inputs!$D$52:$O$57,MATCH('Base Case'!$I$8,Inputs!$D$52:$D$57,0),MATCH('Base Case'!$D14,Inputs!$D$52:$O$52,0))</f>
        <v>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69</v>
      </c>
      <c r="J16" s="58" t="s">
        <v>150</v>
      </c>
      <c r="K16" s="58" t="s">
        <v>151</v>
      </c>
      <c r="L16" s="58"/>
      <c r="M16" s="58"/>
      <c r="N16" s="59"/>
      <c r="O16" s="57" t="s">
        <v>152</v>
      </c>
      <c r="P16" s="58" t="s">
        <v>153</v>
      </c>
      <c r="Q16" s="58" t="s">
        <v>154</v>
      </c>
      <c r="R16" s="58" t="s">
        <v>155</v>
      </c>
      <c r="S16" s="58" t="s">
        <v>25</v>
      </c>
      <c r="T16" s="60" t="s">
        <v>156</v>
      </c>
      <c r="U16" s="57" t="s">
        <v>157</v>
      </c>
      <c r="V16" s="61" t="s">
        <v>158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INDEX(Inputs!$J$64:$J$66,MATCH('Base Case'!J17,Inputs!$D$64:$D$66,0))</f>
        <v>3</v>
      </c>
      <c r="J17" s="112" t="s">
        <v>40</v>
      </c>
      <c r="K17" s="113" t="s">
        <v>198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19"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INDEX(Inputs!$J$64:$J$66,MATCH('Base Case'!J18,Inputs!$D$64:$D$66,0))</f>
        <v>3</v>
      </c>
      <c r="J18" s="120" t="s">
        <v>40</v>
      </c>
      <c r="K18" s="121" t="s">
        <v>125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126"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INDEX(Inputs!$J$64:$J$66,MATCH('Base Case'!J19,Inputs!$D$64:$D$66,0))</f>
        <v>3</v>
      </c>
      <c r="J19" s="120" t="s">
        <v>40</v>
      </c>
      <c r="K19" s="121" t="s">
        <v>199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126"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INDEX(Inputs!$J$64:$J$66,MATCH('Base Case'!J20,Inputs!$D$64:$D$66,0))</f>
        <v>3</v>
      </c>
      <c r="J20" s="120" t="s">
        <v>40</v>
      </c>
      <c r="K20" s="121" t="s">
        <v>200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126"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INDEX(Inputs!$J$64:$J$66,MATCH('Base Case'!J21,Inputs!$D$64:$D$66,0))</f>
        <v>3</v>
      </c>
      <c r="J21" s="120" t="s">
        <v>40</v>
      </c>
      <c r="K21" s="121" t="s">
        <v>59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126"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INDEX(Inputs!$J$64:$J$66,MATCH('Base Case'!J22,Inputs!$D$64:$D$66,0))</f>
        <v>3</v>
      </c>
      <c r="J22" s="120" t="s">
        <v>40</v>
      </c>
      <c r="K22" s="121" t="s">
        <v>159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126"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INDEX(Inputs!$J$64:$J$66,MATCH('Base Case'!J23,Inputs!$D$64:$D$66,0))</f>
        <v>3</v>
      </c>
      <c r="J23" s="120" t="s">
        <v>40</v>
      </c>
      <c r="K23" s="121" t="s">
        <v>160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126"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INDEX(Inputs!$J$64:$J$66,MATCH('Base Case'!J24,Inputs!$D$64:$D$66,0))</f>
        <v>3</v>
      </c>
      <c r="J24" s="120" t="s">
        <v>40</v>
      </c>
      <c r="K24" s="121" t="s">
        <v>162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126"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INDEX(Inputs!$J$64:$J$66,MATCH('Base Case'!J25,Inputs!$D$64:$D$66,0))</f>
        <v>3</v>
      </c>
      <c r="J25" s="120" t="s">
        <v>40</v>
      </c>
      <c r="K25" s="121" t="s">
        <v>161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126"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INDEX(Inputs!$J$64:$J$66,MATCH('Base Case'!J26,Inputs!$D$64:$D$66,0))</f>
        <v>3</v>
      </c>
      <c r="J26" s="127" t="s">
        <v>40</v>
      </c>
      <c r="K26" s="128" t="s">
        <v>161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33"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INDEX(Inputs!$J$64:$J$66,MATCH('Base Case'!J27,Inputs!$D$64:$D$66,0))</f>
        <v>2</v>
      </c>
      <c r="J27" s="100" t="s">
        <v>39</v>
      </c>
      <c r="K27" s="101" t="s">
        <v>198</v>
      </c>
      <c r="L27" s="102"/>
      <c r="M27" s="102"/>
      <c r="N27" s="103"/>
      <c r="O27" s="63">
        <f>O105</f>
        <v>21633651.852300525</v>
      </c>
      <c r="P27" s="64">
        <v>0</v>
      </c>
      <c r="Q27" s="64">
        <v>0</v>
      </c>
      <c r="R27" s="64">
        <v>0</v>
      </c>
      <c r="S27" s="65">
        <v>0</v>
      </c>
      <c r="T27" s="66">
        <v>1</v>
      </c>
      <c r="U27" s="63">
        <f t="shared" si="0"/>
        <v>21633651.852300525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INDEX(Inputs!$J$64:$J$66,MATCH('Base Case'!J28,Inputs!$D$64:$D$66,0))</f>
        <v>2</v>
      </c>
      <c r="J28" s="104" t="s">
        <v>39</v>
      </c>
      <c r="K28" s="105" t="s">
        <v>125</v>
      </c>
      <c r="L28" s="106"/>
      <c r="M28" s="106"/>
      <c r="N28" s="107"/>
      <c r="O28" s="69">
        <v>0</v>
      </c>
      <c r="P28" s="70">
        <f>SUM(Inputs!$L$168:$L$170)*Inputs!$K$178</f>
        <v>32586.166129224315</v>
      </c>
      <c r="Q28" s="71">
        <v>0</v>
      </c>
      <c r="R28" s="71">
        <v>0</v>
      </c>
      <c r="S28" s="72">
        <v>0</v>
      </c>
      <c r="T28" s="76">
        <v>1</v>
      </c>
      <c r="U28" s="74">
        <f t="shared" si="0"/>
        <v>32586.166129224315</v>
      </c>
      <c r="V28" s="75">
        <f t="shared" si="1"/>
        <v>32586.166129224315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INDEX(Inputs!$J$64:$J$66,MATCH('Base Case'!J29,Inputs!$D$64:$D$66,0))</f>
        <v>2</v>
      </c>
      <c r="J29" s="104" t="s">
        <v>39</v>
      </c>
      <c r="K29" s="105" t="s">
        <v>199</v>
      </c>
      <c r="L29" s="106"/>
      <c r="M29" s="106"/>
      <c r="N29" s="107"/>
      <c r="O29" s="69">
        <v>0</v>
      </c>
      <c r="P29" s="71">
        <v>0</v>
      </c>
      <c r="Q29" s="70">
        <f>Inputs!$K$161*$I$11</f>
        <v>15173125.527899293</v>
      </c>
      <c r="R29" s="71">
        <v>0</v>
      </c>
      <c r="S29" s="72">
        <v>0</v>
      </c>
      <c r="T29" s="76">
        <v>1</v>
      </c>
      <c r="U29" s="74">
        <f t="shared" si="0"/>
        <v>15173125.527899293</v>
      </c>
      <c r="V29" s="75">
        <f t="shared" si="1"/>
        <v>15173125.527899293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INDEX(Inputs!$J$64:$J$66,MATCH('Base Case'!J30,Inputs!$D$64:$D$66,0))</f>
        <v>2</v>
      </c>
      <c r="J30" s="104" t="s">
        <v>39</v>
      </c>
      <c r="K30" s="105" t="s">
        <v>200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8440046.6716031451</v>
      </c>
      <c r="S30" s="72">
        <v>0</v>
      </c>
      <c r="T30" s="76">
        <v>1</v>
      </c>
      <c r="U30" s="74">
        <f t="shared" si="0"/>
        <v>8440046.6716031451</v>
      </c>
      <c r="V30" s="75">
        <f t="shared" si="1"/>
        <v>8440046.6716031451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INDEX(Inputs!$J$64:$J$66,MATCH('Base Case'!J31,Inputs!$D$64:$D$66,0))</f>
        <v>2</v>
      </c>
      <c r="J31" s="104" t="s">
        <v>39</v>
      </c>
      <c r="K31" s="105" t="s">
        <v>59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Inputs!$K$105*$I$14</f>
        <v>95334.796460177007</v>
      </c>
      <c r="T31" s="76">
        <v>1</v>
      </c>
      <c r="U31" s="74">
        <f t="shared" si="0"/>
        <v>95334.796460177007</v>
      </c>
      <c r="V31" s="75">
        <f t="shared" si="1"/>
        <v>95334.796460177007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INDEX(Inputs!$J$64:$J$66,MATCH('Base Case'!J32,Inputs!$D$64:$D$66,0))</f>
        <v>2</v>
      </c>
      <c r="J32" s="104" t="s">
        <v>39</v>
      </c>
      <c r="K32" s="105" t="s">
        <v>159</v>
      </c>
      <c r="L32" s="106"/>
      <c r="M32" s="106"/>
      <c r="N32" s="107"/>
      <c r="O32" s="69">
        <v>0</v>
      </c>
      <c r="P32" s="71">
        <v>0</v>
      </c>
      <c r="Q32" s="70">
        <f>Inputs!$K$97*$I$11</f>
        <v>51812.389380530978</v>
      </c>
      <c r="R32" s="71">
        <v>0</v>
      </c>
      <c r="S32" s="72">
        <v>0</v>
      </c>
      <c r="T32" s="76">
        <v>1</v>
      </c>
      <c r="U32" s="74">
        <f t="shared" si="0"/>
        <v>51812.389380530978</v>
      </c>
      <c r="V32" s="75">
        <f t="shared" si="1"/>
        <v>51812.389380530978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INDEX(Inputs!$J$64:$J$66,MATCH('Base Case'!J33,Inputs!$D$64:$D$66,0))</f>
        <v>2</v>
      </c>
      <c r="J33" s="104" t="s">
        <v>39</v>
      </c>
      <c r="K33" s="105" t="s">
        <v>160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6"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INDEX(Inputs!$J$64:$J$66,MATCH('Base Case'!J34,Inputs!$D$64:$D$66,0))</f>
        <v>2</v>
      </c>
      <c r="J34" s="120" t="s">
        <v>39</v>
      </c>
      <c r="K34" s="121" t="s">
        <v>162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126"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INDEX(Inputs!$J$64:$J$66,MATCH('Base Case'!J35,Inputs!$D$64:$D$66,0))</f>
        <v>2</v>
      </c>
      <c r="J35" s="104" t="s">
        <v>39</v>
      </c>
      <c r="K35" s="105" t="s">
        <v>161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6"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INDEX(Inputs!$J$64:$J$66,MATCH('Base Case'!J36,Inputs!$D$64:$D$66,0))</f>
        <v>2</v>
      </c>
      <c r="J36" s="108" t="s">
        <v>39</v>
      </c>
      <c r="K36" s="109" t="s">
        <v>161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82"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INDEX(Inputs!$J$64:$J$66,MATCH('Base Case'!J37,Inputs!$D$64:$D$66,0))</f>
        <v>1</v>
      </c>
      <c r="J37" s="100" t="s">
        <v>38</v>
      </c>
      <c r="K37" s="101" t="s">
        <v>198</v>
      </c>
      <c r="L37" s="102"/>
      <c r="M37" s="102"/>
      <c r="N37" s="103"/>
      <c r="O37" s="63">
        <f>O103</f>
        <v>379346.10452173569</v>
      </c>
      <c r="P37" s="64">
        <v>0</v>
      </c>
      <c r="Q37" s="64">
        <v>0</v>
      </c>
      <c r="R37" s="64">
        <v>0</v>
      </c>
      <c r="S37" s="65">
        <v>0</v>
      </c>
      <c r="T37" s="66">
        <v>1</v>
      </c>
      <c r="U37" s="63">
        <f t="shared" si="0"/>
        <v>379346.10452173569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INDEX(Inputs!$J$64:$J$66,MATCH('Base Case'!J38,Inputs!$D$64:$D$66,0))</f>
        <v>1</v>
      </c>
      <c r="J38" s="104" t="s">
        <v>38</v>
      </c>
      <c r="K38" s="105" t="s">
        <v>125</v>
      </c>
      <c r="L38" s="106"/>
      <c r="M38" s="106"/>
      <c r="N38" s="107"/>
      <c r="O38" s="69">
        <v>0</v>
      </c>
      <c r="P38" s="70">
        <f>SUM(Inputs!$L$168:$L$170)*Inputs!$J$178</f>
        <v>6517.2332258448641</v>
      </c>
      <c r="Q38" s="71">
        <v>0</v>
      </c>
      <c r="R38" s="71">
        <v>0</v>
      </c>
      <c r="S38" s="72">
        <v>0</v>
      </c>
      <c r="T38" s="76">
        <v>1</v>
      </c>
      <c r="U38" s="74">
        <f t="shared" si="0"/>
        <v>6517.2332258448641</v>
      </c>
      <c r="V38" s="75">
        <f t="shared" si="1"/>
        <v>6517.2332258448641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INDEX(Inputs!$J$64:$J$66,MATCH('Base Case'!J39,Inputs!$D$64:$D$66,0))</f>
        <v>1</v>
      </c>
      <c r="J39" s="104" t="s">
        <v>38</v>
      </c>
      <c r="K39" s="105" t="s">
        <v>199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6"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INDEX(Inputs!$J$64:$J$66,MATCH('Base Case'!J40,Inputs!$D$64:$D$66,0))</f>
        <v>1</v>
      </c>
      <c r="J40" s="104" t="s">
        <v>38</v>
      </c>
      <c r="K40" s="105" t="s">
        <v>200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47045.649557522127</v>
      </c>
      <c r="S40" s="72">
        <v>0</v>
      </c>
      <c r="T40" s="76">
        <v>1</v>
      </c>
      <c r="U40" s="74">
        <f t="shared" si="0"/>
        <v>47045.649557522127</v>
      </c>
      <c r="V40" s="75">
        <f t="shared" si="1"/>
        <v>47045.649557522127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INDEX(Inputs!$J$64:$J$66,MATCH('Base Case'!J41,Inputs!$D$64:$D$66,0))</f>
        <v>1</v>
      </c>
      <c r="J41" s="104" t="s">
        <v>38</v>
      </c>
      <c r="K41" s="105" t="s">
        <v>59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Inputs!$J$105*$I$14</f>
        <v>12124.09911504425</v>
      </c>
      <c r="T41" s="76">
        <v>1</v>
      </c>
      <c r="U41" s="74">
        <f t="shared" si="0"/>
        <v>12124.09911504425</v>
      </c>
      <c r="V41" s="75">
        <f t="shared" si="1"/>
        <v>12124.09911504425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INDEX(Inputs!$J$64:$J$66,MATCH('Base Case'!J42,Inputs!$D$64:$D$66,0))</f>
        <v>1</v>
      </c>
      <c r="J42" s="104" t="s">
        <v>38</v>
      </c>
      <c r="K42" s="105" t="s">
        <v>159</v>
      </c>
      <c r="L42" s="106"/>
      <c r="M42" s="106"/>
      <c r="N42" s="107"/>
      <c r="O42" s="69">
        <v>0</v>
      </c>
      <c r="P42" s="71">
        <v>0</v>
      </c>
      <c r="Q42" s="70">
        <f>Inputs!$K$97*$I$11</f>
        <v>51812.389380530978</v>
      </c>
      <c r="R42" s="71">
        <v>0</v>
      </c>
      <c r="S42" s="72">
        <v>0</v>
      </c>
      <c r="T42" s="76">
        <v>1</v>
      </c>
      <c r="U42" s="74">
        <f t="shared" si="0"/>
        <v>51812.389380530978</v>
      </c>
      <c r="V42" s="75">
        <f t="shared" si="1"/>
        <v>51812.389380530978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INDEX(Inputs!$J$64:$J$66,MATCH('Base Case'!J43,Inputs!$D$64:$D$66,0))</f>
        <v>1</v>
      </c>
      <c r="J43" s="104" t="s">
        <v>38</v>
      </c>
      <c r="K43" s="105" t="s">
        <v>160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6"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INDEX(Inputs!$J$64:$J$66,MATCH('Base Case'!J44,Inputs!$D$64:$D$66,0))</f>
        <v>1</v>
      </c>
      <c r="J44" s="120" t="s">
        <v>38</v>
      </c>
      <c r="K44" s="121" t="s">
        <v>162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126"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INDEX(Inputs!$J$64:$J$66,MATCH('Base Case'!J45,Inputs!$D$64:$D$66,0))</f>
        <v>1</v>
      </c>
      <c r="J45" s="104" t="s">
        <v>38</v>
      </c>
      <c r="K45" s="105" t="s">
        <v>161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6"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INDEX(Inputs!$J$64:$J$66,MATCH('Base Case'!J46,Inputs!$D$64:$D$66,0))</f>
        <v>1</v>
      </c>
      <c r="J46" s="108" t="s">
        <v>38</v>
      </c>
      <c r="K46" s="109" t="s">
        <v>161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82"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INDEX(Inputs!$J$64:$J$66,MATCH('Base Case'!J49,Inputs!$D$64:$D$66,0))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379346.10452173569</v>
      </c>
      <c r="P49" s="70">
        <f t="shared" ref="P49:V49" si="2">SUMIF($I$17:$I$46,$I49,P$17:P$46)</f>
        <v>6517.2332258448641</v>
      </c>
      <c r="Q49" s="70">
        <f t="shared" si="2"/>
        <v>51812.389380530978</v>
      </c>
      <c r="R49" s="70">
        <f t="shared" si="2"/>
        <v>47045.649557522127</v>
      </c>
      <c r="S49" s="70">
        <f t="shared" si="2"/>
        <v>12124.09911504425</v>
      </c>
      <c r="T49" s="56">
        <f>U49/SUM(O49:S49)</f>
        <v>1</v>
      </c>
      <c r="U49" s="70">
        <f t="shared" si="2"/>
        <v>496845.4758006779</v>
      </c>
      <c r="V49" s="70">
        <f t="shared" si="2"/>
        <v>117499.37127894221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INDEX(Inputs!$J$64:$J$66,MATCH('Base Case'!J50,Inputs!$D$64:$D$66,0))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21633651.852300525</v>
      </c>
      <c r="P50" s="70">
        <f t="shared" si="3"/>
        <v>32586.166129224315</v>
      </c>
      <c r="Q50" s="70">
        <f t="shared" si="3"/>
        <v>15224937.917279825</v>
      </c>
      <c r="R50" s="70">
        <f t="shared" si="3"/>
        <v>8440046.6716031451</v>
      </c>
      <c r="S50" s="70">
        <f t="shared" si="3"/>
        <v>95334.796460177007</v>
      </c>
      <c r="T50" s="56">
        <f t="shared" ref="T50:T51" si="4">U50/SUM(O50:S50)</f>
        <v>1</v>
      </c>
      <c r="U50" s="70">
        <f t="shared" si="3"/>
        <v>45426557.403772891</v>
      </c>
      <c r="V50" s="70">
        <f t="shared" si="3"/>
        <v>23792905.55147237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INDEX(Inputs!$J$64:$J$66,MATCH('Base Case'!J51,Inputs!$D$64:$D$66,0))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45923402.879573569</v>
      </c>
      <c r="V52" s="88">
        <f>SUM(V49:V51)</f>
        <v>23910404.922751311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Base case: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50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51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52</v>
      </c>
      <c r="D59" s="51"/>
      <c r="E59" s="51"/>
      <c r="F59" s="51"/>
      <c r="G59" s="51"/>
      <c r="H59" s="51"/>
      <c r="I59" s="51"/>
      <c r="J59" s="70">
        <f>Inputs!J80</f>
        <v>58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53</v>
      </c>
      <c r="E60" s="51"/>
      <c r="F60" s="51"/>
      <c r="G60" s="51"/>
      <c r="H60" s="51"/>
      <c r="I60" s="51"/>
      <c r="J60" s="70">
        <f>Inputs!J81</f>
        <v>29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54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55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56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57</v>
      </c>
      <c r="E64" s="87"/>
      <c r="F64" s="87"/>
      <c r="G64" s="87"/>
      <c r="H64" s="87"/>
      <c r="I64" s="87"/>
      <c r="J64" s="70">
        <f>Inputs!J85</f>
        <v>16.509999999999998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32.973999999999997</v>
      </c>
      <c r="P69" s="70">
        <f>Inputs!P185*$I$12</f>
        <v>33.311</v>
      </c>
      <c r="Q69" s="70">
        <f>Inputs!Q185*$I$12</f>
        <v>32.837000000000003</v>
      </c>
      <c r="R69" s="70">
        <f>Inputs!R185*$I$12</f>
        <v>33.247999999999998</v>
      </c>
      <c r="S69" s="70">
        <f>Inputs!S185*$I$12</f>
        <v>33.671999999999997</v>
      </c>
      <c r="T69" s="70">
        <f>Inputs!T185*$I$12</f>
        <v>34.451999999999998</v>
      </c>
      <c r="U69" s="70">
        <f>Inputs!U185*$I$12</f>
        <v>35.854999999999997</v>
      </c>
      <c r="V69" s="70">
        <f>Inputs!V185*$I$12</f>
        <v>35.854999999999997</v>
      </c>
      <c r="W69" s="70">
        <f>Inputs!W185*$I$12</f>
        <v>35.854999999999997</v>
      </c>
      <c r="X69" s="70">
        <f>Inputs!X185*$I$12</f>
        <v>35.854999999999997</v>
      </c>
      <c r="Y69" s="70">
        <f>Inputs!Y185*$I$12</f>
        <v>35.854999999999997</v>
      </c>
      <c r="Z69" s="70">
        <f>Inputs!Z185*$I$12</f>
        <v>35.854999999999997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30.814</v>
      </c>
      <c r="P70" s="70">
        <f>Inputs!P186*$I$12</f>
        <v>30.805</v>
      </c>
      <c r="Q70" s="70">
        <f>Inputs!Q186*$I$12</f>
        <v>30.827000000000002</v>
      </c>
      <c r="R70" s="70">
        <f>Inputs!R186*$I$12</f>
        <v>31.247</v>
      </c>
      <c r="S70" s="70">
        <f>Inputs!S186*$I$12</f>
        <v>31.366</v>
      </c>
      <c r="T70" s="70">
        <f>Inputs!T186*$I$12</f>
        <v>32.366</v>
      </c>
      <c r="U70" s="70">
        <f>Inputs!U186*$I$12</f>
        <v>33.04</v>
      </c>
      <c r="V70" s="70">
        <f>Inputs!V186*$I$12</f>
        <v>33.04</v>
      </c>
      <c r="W70" s="70">
        <f>Inputs!W186*$I$12</f>
        <v>33.04</v>
      </c>
      <c r="X70" s="70">
        <f>Inputs!X186*$I$12</f>
        <v>33.04</v>
      </c>
      <c r="Y70" s="70">
        <f>Inputs!Y186*$I$12</f>
        <v>33.04</v>
      </c>
      <c r="Z70" s="70">
        <f>Inputs!Z186*$I$12</f>
        <v>33.04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31.461999999999996</v>
      </c>
      <c r="P71" s="70">
        <f>Inputs!P187*$I$12</f>
        <v>31.556799999999999</v>
      </c>
      <c r="Q71" s="70">
        <f>Inputs!Q187*$I$12</f>
        <v>31.430000000000003</v>
      </c>
      <c r="R71" s="70">
        <f>Inputs!R187*$I$12</f>
        <v>31.847299999999997</v>
      </c>
      <c r="S71" s="70">
        <f>Inputs!S187*$I$12</f>
        <v>32.0578</v>
      </c>
      <c r="T71" s="70">
        <f>Inputs!T187*$I$12</f>
        <v>32.991799999999998</v>
      </c>
      <c r="U71" s="70">
        <f>Inputs!U187*$I$12</f>
        <v>33.884499999999996</v>
      </c>
      <c r="V71" s="70">
        <f>Inputs!V187*$I$12</f>
        <v>33.884499999999996</v>
      </c>
      <c r="W71" s="70">
        <f>Inputs!W187*$I$12</f>
        <v>33.884499999999996</v>
      </c>
      <c r="X71" s="70">
        <f>Inputs!X187*$I$12</f>
        <v>33.884499999999996</v>
      </c>
      <c r="Y71" s="70">
        <f>Inputs!Y187*$I$12</f>
        <v>33.884499999999996</v>
      </c>
      <c r="Z71" s="70">
        <f>Inputs!Z187*$I$12</f>
        <v>33.884499999999996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141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76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142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ref="P77:Z77" si="6">MAX(0,P$71-$J$64-$J60)</f>
        <v>0</v>
      </c>
      <c r="Q77" s="70">
        <f t="shared" si="6"/>
        <v>0</v>
      </c>
      <c r="R77" s="70">
        <f t="shared" si="6"/>
        <v>0</v>
      </c>
      <c r="S77" s="70">
        <f t="shared" si="6"/>
        <v>0</v>
      </c>
      <c r="T77" s="70">
        <f t="shared" si="6"/>
        <v>0</v>
      </c>
      <c r="U77" s="70">
        <f t="shared" si="6"/>
        <v>0</v>
      </c>
      <c r="V77" s="70">
        <f t="shared" si="6"/>
        <v>0</v>
      </c>
      <c r="W77" s="70">
        <f t="shared" si="6"/>
        <v>0</v>
      </c>
      <c r="X77" s="70">
        <f t="shared" si="6"/>
        <v>0</v>
      </c>
      <c r="Y77" s="70">
        <f t="shared" si="6"/>
        <v>0</v>
      </c>
      <c r="Z77" s="70">
        <f t="shared" si="6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143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14.951999999999998</v>
      </c>
      <c r="P78" s="70">
        <f t="shared" ref="P78:Z78" si="7">MAX(0,P$71-$J$64-$J61)</f>
        <v>15.046800000000001</v>
      </c>
      <c r="Q78" s="70">
        <f t="shared" si="7"/>
        <v>14.920000000000005</v>
      </c>
      <c r="R78" s="70">
        <f t="shared" si="7"/>
        <v>15.337299999999999</v>
      </c>
      <c r="S78" s="70">
        <f t="shared" si="7"/>
        <v>15.547800000000002</v>
      </c>
      <c r="T78" s="70">
        <f t="shared" si="7"/>
        <v>16.4818</v>
      </c>
      <c r="U78" s="70">
        <f t="shared" si="7"/>
        <v>17.374499999999998</v>
      </c>
      <c r="V78" s="70">
        <f t="shared" si="7"/>
        <v>17.374499999999998</v>
      </c>
      <c r="W78" s="70">
        <f t="shared" si="7"/>
        <v>17.374499999999998</v>
      </c>
      <c r="X78" s="70">
        <f t="shared" si="7"/>
        <v>17.374499999999998</v>
      </c>
      <c r="Y78" s="70">
        <f t="shared" si="7"/>
        <v>17.374499999999998</v>
      </c>
      <c r="Z78" s="70">
        <f t="shared" si="7"/>
        <v>17.374499999999998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144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14.951999999999998</v>
      </c>
      <c r="P79" s="70">
        <f t="shared" ref="P79:Z79" si="8">MAX(0,P$71-$J$64-$J62)</f>
        <v>15.046800000000001</v>
      </c>
      <c r="Q79" s="70">
        <f t="shared" si="8"/>
        <v>14.920000000000005</v>
      </c>
      <c r="R79" s="70">
        <f t="shared" si="8"/>
        <v>15.337299999999999</v>
      </c>
      <c r="S79" s="70">
        <f t="shared" si="8"/>
        <v>15.547800000000002</v>
      </c>
      <c r="T79" s="70">
        <f t="shared" si="8"/>
        <v>16.4818</v>
      </c>
      <c r="U79" s="70">
        <f t="shared" si="8"/>
        <v>17.374499999999998</v>
      </c>
      <c r="V79" s="70">
        <f t="shared" si="8"/>
        <v>17.374499999999998</v>
      </c>
      <c r="W79" s="70">
        <f t="shared" si="8"/>
        <v>17.374499999999998</v>
      </c>
      <c r="X79" s="70">
        <f t="shared" si="8"/>
        <v>17.374499999999998</v>
      </c>
      <c r="Y79" s="70">
        <f t="shared" si="8"/>
        <v>17.374499999999998</v>
      </c>
      <c r="Z79" s="70">
        <f t="shared" si="8"/>
        <v>17.374499999999998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145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14.951999999999998</v>
      </c>
      <c r="P80" s="70">
        <f t="shared" ref="P80:Z80" si="9">MAX(0,P$71-$J$64-$J63)</f>
        <v>15.046800000000001</v>
      </c>
      <c r="Q80" s="70">
        <f t="shared" si="9"/>
        <v>14.920000000000005</v>
      </c>
      <c r="R80" s="70">
        <f t="shared" si="9"/>
        <v>15.337299999999999</v>
      </c>
      <c r="S80" s="70">
        <f t="shared" si="9"/>
        <v>15.547800000000002</v>
      </c>
      <c r="T80" s="70">
        <f t="shared" si="9"/>
        <v>16.4818</v>
      </c>
      <c r="U80" s="70">
        <f t="shared" si="9"/>
        <v>17.374499999999998</v>
      </c>
      <c r="V80" s="70">
        <f t="shared" si="9"/>
        <v>17.374499999999998</v>
      </c>
      <c r="W80" s="70">
        <f t="shared" si="9"/>
        <v>17.374499999999998</v>
      </c>
      <c r="X80" s="70">
        <f t="shared" si="9"/>
        <v>17.374499999999998</v>
      </c>
      <c r="Y80" s="70">
        <f t="shared" si="9"/>
        <v>17.374499999999998</v>
      </c>
      <c r="Z80" s="70">
        <f t="shared" si="9"/>
        <v>17.374499999999998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164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165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190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191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10">MAX(0,((P85-1)-1)/2)</f>
        <v>0</v>
      </c>
      <c r="Q86" s="70">
        <f t="shared" si="10"/>
        <v>0</v>
      </c>
      <c r="R86" s="70">
        <f t="shared" si="10"/>
        <v>0</v>
      </c>
      <c r="S86" s="70">
        <f t="shared" si="10"/>
        <v>0</v>
      </c>
      <c r="T86" s="70">
        <f t="shared" si="10"/>
        <v>0</v>
      </c>
      <c r="U86" s="70">
        <f t="shared" si="10"/>
        <v>0</v>
      </c>
      <c r="V86" s="70">
        <f t="shared" si="10"/>
        <v>0</v>
      </c>
      <c r="W86" s="70">
        <f t="shared" si="10"/>
        <v>0</v>
      </c>
      <c r="X86" s="70">
        <f t="shared" si="10"/>
        <v>0</v>
      </c>
      <c r="Y86" s="70">
        <f t="shared" si="10"/>
        <v>0</v>
      </c>
      <c r="Z86" s="70">
        <f t="shared" si="10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165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11">IFERROR((P85-P86)/P85,0)*MAX(0,P85)</f>
        <v>1</v>
      </c>
      <c r="Q87" s="93">
        <f t="shared" si="11"/>
        <v>1</v>
      </c>
      <c r="R87" s="93">
        <f t="shared" si="11"/>
        <v>1</v>
      </c>
      <c r="S87" s="93">
        <f t="shared" si="11"/>
        <v>1</v>
      </c>
      <c r="T87" s="93">
        <f t="shared" si="11"/>
        <v>1</v>
      </c>
      <c r="U87" s="93">
        <f t="shared" si="11"/>
        <v>1</v>
      </c>
      <c r="V87" s="93">
        <f t="shared" si="11"/>
        <v>1</v>
      </c>
      <c r="W87" s="93">
        <f t="shared" si="11"/>
        <v>1</v>
      </c>
      <c r="X87" s="93">
        <f t="shared" si="11"/>
        <v>1</v>
      </c>
      <c r="Y87" s="93">
        <f t="shared" si="11"/>
        <v>1</v>
      </c>
      <c r="Z87" s="93">
        <f t="shared" si="11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12">E85</f>
        <v>Days to connect generators, plus 1 day lead time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12"/>
        <v>Adjustment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13">MAX(0,((P88-1)-1)/2)</f>
        <v>0</v>
      </c>
      <c r="Q89" s="70">
        <f t="shared" si="13"/>
        <v>0</v>
      </c>
      <c r="R89" s="70">
        <f t="shared" si="13"/>
        <v>0</v>
      </c>
      <c r="S89" s="70">
        <f t="shared" si="13"/>
        <v>0</v>
      </c>
      <c r="T89" s="70">
        <f t="shared" si="13"/>
        <v>0</v>
      </c>
      <c r="U89" s="70">
        <f t="shared" si="13"/>
        <v>0</v>
      </c>
      <c r="V89" s="70">
        <f t="shared" si="13"/>
        <v>0</v>
      </c>
      <c r="W89" s="70">
        <f t="shared" si="13"/>
        <v>0</v>
      </c>
      <c r="X89" s="70">
        <f t="shared" si="13"/>
        <v>0</v>
      </c>
      <c r="Y89" s="70">
        <f t="shared" si="13"/>
        <v>0</v>
      </c>
      <c r="Z89" s="70">
        <f t="shared" si="13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12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4">IFERROR((P88-P89)/P88,0)*MAX(0,P88)</f>
        <v>1</v>
      </c>
      <c r="Q90" s="93">
        <f t="shared" si="14"/>
        <v>1</v>
      </c>
      <c r="R90" s="93">
        <f t="shared" si="14"/>
        <v>1</v>
      </c>
      <c r="S90" s="93">
        <f t="shared" si="14"/>
        <v>1</v>
      </c>
      <c r="T90" s="93">
        <f t="shared" si="14"/>
        <v>1</v>
      </c>
      <c r="U90" s="93">
        <f t="shared" si="14"/>
        <v>1</v>
      </c>
      <c r="V90" s="93">
        <f t="shared" si="14"/>
        <v>1</v>
      </c>
      <c r="W90" s="93">
        <f t="shared" si="14"/>
        <v>1</v>
      </c>
      <c r="X90" s="93">
        <f t="shared" si="14"/>
        <v>1</v>
      </c>
      <c r="Y90" s="93">
        <f t="shared" si="14"/>
        <v>1</v>
      </c>
      <c r="Z90" s="93">
        <f t="shared" si="14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12"/>
        <v>Days to connect generators, plus 1 day lead time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12"/>
        <v>Adjustment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5">MAX(0,((P91-1)-1)/2)</f>
        <v>0.5</v>
      </c>
      <c r="Q92" s="70">
        <f t="shared" si="15"/>
        <v>0.5</v>
      </c>
      <c r="R92" s="70">
        <f t="shared" si="15"/>
        <v>0.5</v>
      </c>
      <c r="S92" s="70">
        <f t="shared" si="15"/>
        <v>0.5</v>
      </c>
      <c r="T92" s="70">
        <f t="shared" si="15"/>
        <v>0.5</v>
      </c>
      <c r="U92" s="70">
        <f t="shared" si="15"/>
        <v>0.5</v>
      </c>
      <c r="V92" s="70">
        <f t="shared" si="15"/>
        <v>0.5</v>
      </c>
      <c r="W92" s="70">
        <f t="shared" si="15"/>
        <v>0.5</v>
      </c>
      <c r="X92" s="70">
        <f t="shared" si="15"/>
        <v>0.5</v>
      </c>
      <c r="Y92" s="70">
        <f t="shared" si="15"/>
        <v>0.5</v>
      </c>
      <c r="Z92" s="70">
        <f t="shared" si="15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12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6">IFERROR((P91-P92)/P91,0)*MAX(0,P91)</f>
        <v>2.5</v>
      </c>
      <c r="Q93" s="93">
        <f t="shared" si="16"/>
        <v>2.5</v>
      </c>
      <c r="R93" s="93">
        <f t="shared" si="16"/>
        <v>2.5</v>
      </c>
      <c r="S93" s="93">
        <f t="shared" si="16"/>
        <v>2.5</v>
      </c>
      <c r="T93" s="93">
        <f t="shared" si="16"/>
        <v>2.5</v>
      </c>
      <c r="U93" s="93">
        <f t="shared" si="16"/>
        <v>2.5</v>
      </c>
      <c r="V93" s="93">
        <f t="shared" si="16"/>
        <v>2.5</v>
      </c>
      <c r="W93" s="93">
        <f t="shared" si="16"/>
        <v>2.5</v>
      </c>
      <c r="X93" s="93">
        <f t="shared" si="16"/>
        <v>2.5</v>
      </c>
      <c r="Y93" s="93">
        <f t="shared" si="16"/>
        <v>2.5</v>
      </c>
      <c r="Z93" s="93">
        <f t="shared" si="16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12"/>
        <v>Days to connect generators, plus 1 day lead time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12"/>
        <v>Adjustment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7">MAX(0,((P94-1)-1)/2)</f>
        <v>0.5</v>
      </c>
      <c r="Q95" s="70">
        <f t="shared" si="17"/>
        <v>0.5</v>
      </c>
      <c r="R95" s="70">
        <f t="shared" si="17"/>
        <v>0.5</v>
      </c>
      <c r="S95" s="70">
        <f t="shared" si="17"/>
        <v>0.5</v>
      </c>
      <c r="T95" s="70">
        <f t="shared" si="17"/>
        <v>0.5</v>
      </c>
      <c r="U95" s="70">
        <f t="shared" si="17"/>
        <v>0.5</v>
      </c>
      <c r="V95" s="70">
        <f t="shared" si="17"/>
        <v>0.5</v>
      </c>
      <c r="W95" s="70">
        <f t="shared" si="17"/>
        <v>0.5</v>
      </c>
      <c r="X95" s="70">
        <f t="shared" si="17"/>
        <v>0.5</v>
      </c>
      <c r="Y95" s="70">
        <f t="shared" si="17"/>
        <v>0.5</v>
      </c>
      <c r="Z95" s="70">
        <f t="shared" si="17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12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8">IFERROR((P94-P95)/P94,0)*MAX(0,P94)</f>
        <v>2.5</v>
      </c>
      <c r="Q96" s="93">
        <f t="shared" si="18"/>
        <v>2.5</v>
      </c>
      <c r="R96" s="93">
        <f t="shared" si="18"/>
        <v>2.5</v>
      </c>
      <c r="S96" s="93">
        <f t="shared" si="18"/>
        <v>2.5</v>
      </c>
      <c r="T96" s="93">
        <f t="shared" si="18"/>
        <v>2.5</v>
      </c>
      <c r="U96" s="93">
        <f t="shared" si="18"/>
        <v>2.5</v>
      </c>
      <c r="V96" s="93">
        <f t="shared" si="18"/>
        <v>2.5</v>
      </c>
      <c r="W96" s="93">
        <f t="shared" si="18"/>
        <v>2.5</v>
      </c>
      <c r="X96" s="93">
        <f t="shared" si="18"/>
        <v>2.5</v>
      </c>
      <c r="Y96" s="93">
        <f t="shared" si="18"/>
        <v>2.5</v>
      </c>
      <c r="Z96" s="93">
        <f t="shared" si="18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12"/>
        <v>Days to connect generators, plus 1 day lead time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12"/>
        <v>Adjustment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9">MAX(0,((P97-1)-1)/2)</f>
        <v>0.5</v>
      </c>
      <c r="Q98" s="70">
        <f t="shared" si="19"/>
        <v>0.5</v>
      </c>
      <c r="R98" s="70">
        <f t="shared" si="19"/>
        <v>0.5</v>
      </c>
      <c r="S98" s="70">
        <f t="shared" si="19"/>
        <v>0.5</v>
      </c>
      <c r="T98" s="70">
        <f t="shared" si="19"/>
        <v>0.5</v>
      </c>
      <c r="U98" s="70">
        <f t="shared" si="19"/>
        <v>0.5</v>
      </c>
      <c r="V98" s="70">
        <f t="shared" si="19"/>
        <v>0.5</v>
      </c>
      <c r="W98" s="70">
        <f t="shared" si="19"/>
        <v>0.5</v>
      </c>
      <c r="X98" s="70">
        <f t="shared" si="19"/>
        <v>0.5</v>
      </c>
      <c r="Y98" s="70">
        <f t="shared" si="19"/>
        <v>0.5</v>
      </c>
      <c r="Z98" s="70">
        <f t="shared" si="19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12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20">IFERROR((P97-P98)/P97,0)*MAX(0,P97)</f>
        <v>2.5</v>
      </c>
      <c r="Q99" s="93">
        <f t="shared" si="20"/>
        <v>2.5</v>
      </c>
      <c r="R99" s="93">
        <f t="shared" si="20"/>
        <v>2.5</v>
      </c>
      <c r="S99" s="93">
        <f t="shared" si="20"/>
        <v>2.5</v>
      </c>
      <c r="T99" s="93">
        <f t="shared" si="20"/>
        <v>2.5</v>
      </c>
      <c r="U99" s="93">
        <f t="shared" si="20"/>
        <v>2.5</v>
      </c>
      <c r="V99" s="93">
        <f t="shared" si="20"/>
        <v>2.5</v>
      </c>
      <c r="W99" s="93">
        <f t="shared" si="20"/>
        <v>2.5</v>
      </c>
      <c r="X99" s="93">
        <f t="shared" si="20"/>
        <v>2.5</v>
      </c>
      <c r="Y99" s="93">
        <f t="shared" si="20"/>
        <v>2.5</v>
      </c>
      <c r="Z99" s="93">
        <f t="shared" si="20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168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379346.10452173569</v>
      </c>
      <c r="P103" s="138">
        <f>IF(Inputs!$J$126&gt;0,P71*Inputs!$M$81/Inputs!$M$80*Inputs!$M$75*Inputs!$J$126,P77*Inputs!$M$75*P90*Inputs!$J$123)*$I$13</f>
        <v>380489.1345487099</v>
      </c>
      <c r="Q103" s="138">
        <f>IF(Inputs!$J$126&gt;0,Q71*Inputs!$M$81/Inputs!$M$80*Inputs!$M$75*Inputs!$J$126,Q77*Inputs!$M$75*Q90*Inputs!$J$123)*$I$13</f>
        <v>378960.27160123817</v>
      </c>
      <c r="R103" s="138">
        <f>IF(Inputs!$J$126&gt;0,R71*Inputs!$M$81/Inputs!$M$80*Inputs!$M$75*Inputs!$J$126,R77*Inputs!$M$75*R90*Inputs!$J$123)*$I$13</f>
        <v>383991.77403010213</v>
      </c>
      <c r="S103" s="138">
        <f>IF(Inputs!$J$126&gt;0,S71*Inputs!$M$81/Inputs!$M$80*Inputs!$M$75*Inputs!$J$126,S77*Inputs!$M$75*S90*Inputs!$J$123)*$I$13</f>
        <v>386529.8312102505</v>
      </c>
      <c r="T103" s="138">
        <f>IF(Inputs!$J$126&gt;0,T71*Inputs!$M$81/Inputs!$M$80*Inputs!$M$75*Inputs!$J$126,T77*Inputs!$M$75*T90*Inputs!$J$123)*$I$13</f>
        <v>397791.32957727421</v>
      </c>
      <c r="U103" s="138">
        <f>IF(Inputs!$J$126&gt;0,U71*Inputs!$M$81/Inputs!$M$80*Inputs!$M$75*Inputs!$J$126,U77*Inputs!$M$75*U90*Inputs!$J$123)*$I$13</f>
        <v>408554.86233128072</v>
      </c>
      <c r="V103" s="138">
        <f>IF(Inputs!$J$126&gt;0,V71*Inputs!$M$81/Inputs!$M$80*Inputs!$M$75*Inputs!$J$126,V77*Inputs!$M$75*V90*Inputs!$J$123)*$I$13</f>
        <v>408554.86233128072</v>
      </c>
      <c r="W103" s="138">
        <f>IF(Inputs!$J$126&gt;0,W71*Inputs!$M$81/Inputs!$M$80*Inputs!$M$75*Inputs!$J$126,W77*Inputs!$M$75*W90*Inputs!$J$123)*$I$13</f>
        <v>408554.86233128072</v>
      </c>
      <c r="X103" s="138">
        <f>IF(Inputs!$J$126&gt;0,X71*Inputs!$M$81/Inputs!$M$80*Inputs!$M$75*Inputs!$J$126,X77*Inputs!$M$75*X90*Inputs!$J$123)*$I$13</f>
        <v>408554.86233128072</v>
      </c>
      <c r="Y103" s="138">
        <f>IF(Inputs!$J$126&gt;0,Y71*Inputs!$M$81/Inputs!$M$80*Inputs!$M$75*Inputs!$J$126,Y77*Inputs!$M$75*Y90*Inputs!$J$123)*$I$13</f>
        <v>408554.86233128072</v>
      </c>
      <c r="Z103" s="138">
        <f>IF(Inputs!$J$126&gt;0,Z71*Inputs!$M$81/Inputs!$M$80*Inputs!$M$75*Inputs!$J$126,Z77*Inputs!$M$75*Z90*Inputs!$J$123)*$I$13</f>
        <v>408554.86233128072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21633651.852300525</v>
      </c>
      <c r="P105" s="70">
        <f>P78*Inputs!$M$75*IF(Inputs!$M$126&gt;0,Inputs!$M$126,P93*Inputs!$J$123)*$I$13</f>
        <v>21770815.455537427</v>
      </c>
      <c r="Q105" s="70">
        <f>Q78*Inputs!$M$75*IF(Inputs!$M$126&gt;0,Inputs!$M$126,Q93*Inputs!$J$123)*$I$13</f>
        <v>21587351.901840821</v>
      </c>
      <c r="R105" s="70">
        <f>R78*Inputs!$M$75*IF(Inputs!$M$126&gt;0,Inputs!$M$126,R93*Inputs!$J$123)*$I$13</f>
        <v>22191132.193304494</v>
      </c>
      <c r="S105" s="70">
        <f>S78*Inputs!$M$75*IF(Inputs!$M$126&gt;0,Inputs!$M$126,S93*Inputs!$J$123)*$I$13</f>
        <v>22495699.054922298</v>
      </c>
      <c r="T105" s="70">
        <f>T78*Inputs!$M$75*IF(Inputs!$M$126&gt;0,Inputs!$M$126,T93*Inputs!$J$123)*$I$13</f>
        <v>23847078.858965144</v>
      </c>
      <c r="U105" s="70">
        <f>U78*Inputs!$M$75*IF(Inputs!$M$126&gt;0,Inputs!$M$126,U93*Inputs!$J$123)*$I$13</f>
        <v>25138702.789445922</v>
      </c>
      <c r="V105" s="70">
        <f>V78*Inputs!$M$75*IF(Inputs!$M$126&gt;0,Inputs!$M$126,V93*Inputs!$J$123)*$I$13</f>
        <v>25138702.789445922</v>
      </c>
      <c r="W105" s="70">
        <f>W78*Inputs!$M$75*IF(Inputs!$M$126&gt;0,Inputs!$M$126,W93*Inputs!$J$123)*$I$13</f>
        <v>25138702.789445922</v>
      </c>
      <c r="X105" s="70">
        <f>X78*Inputs!$M$75*IF(Inputs!$M$126&gt;0,Inputs!$M$126,X93*Inputs!$J$123)*$I$13</f>
        <v>25138702.789445922</v>
      </c>
      <c r="Y105" s="70">
        <f>Y78*Inputs!$M$75*IF(Inputs!$M$126&gt;0,Inputs!$M$126,Y93*Inputs!$J$123)*$I$13</f>
        <v>25138702.789445922</v>
      </c>
      <c r="Z105" s="70">
        <f>Z78*Inputs!$M$75*IF(Inputs!$M$126&gt;0,Inputs!$M$126,Z93*Inputs!$J$123)*$I$13</f>
        <v>25138702.789445922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21633651.852300525</v>
      </c>
      <c r="P106" s="70">
        <f>P79*Inputs!$M$75*IF(Inputs!$M$126&gt;0,Inputs!$M$126,P96*Inputs!$J$123)*$I$13</f>
        <v>21770815.455537427</v>
      </c>
      <c r="Q106" s="70">
        <f>Q79*Inputs!$M$75*IF(Inputs!$M$126&gt;0,Inputs!$M$126,Q96*Inputs!$J$123)*$I$13</f>
        <v>21587351.901840821</v>
      </c>
      <c r="R106" s="70">
        <f>R79*Inputs!$M$75*IF(Inputs!$M$126&gt;0,Inputs!$M$126,R96*Inputs!$J$123)*$I$13</f>
        <v>22191132.193304494</v>
      </c>
      <c r="S106" s="70">
        <f>S79*Inputs!$M$75*IF(Inputs!$M$126&gt;0,Inputs!$M$126,S96*Inputs!$J$123)*$I$13</f>
        <v>22495699.054922298</v>
      </c>
      <c r="T106" s="70">
        <f>T79*Inputs!$M$75*IF(Inputs!$M$126&gt;0,Inputs!$M$126,T96*Inputs!$J$123)*$I$13</f>
        <v>23847078.858965144</v>
      </c>
      <c r="U106" s="70">
        <f>U79*Inputs!$M$75*IF(Inputs!$M$126&gt;0,Inputs!$M$126,U96*Inputs!$J$123)*$I$13</f>
        <v>25138702.789445922</v>
      </c>
      <c r="V106" s="70">
        <f>V79*Inputs!$M$75*IF(Inputs!$M$126&gt;0,Inputs!$M$126,V96*Inputs!$J$123)*$I$13</f>
        <v>25138702.789445922</v>
      </c>
      <c r="W106" s="70">
        <f>W79*Inputs!$M$75*IF(Inputs!$M$126&gt;0,Inputs!$M$126,W96*Inputs!$J$123)*$I$13</f>
        <v>25138702.789445922</v>
      </c>
      <c r="X106" s="70">
        <f>X79*Inputs!$M$75*IF(Inputs!$M$126&gt;0,Inputs!$M$126,X96*Inputs!$J$123)*$I$13</f>
        <v>25138702.789445922</v>
      </c>
      <c r="Y106" s="70">
        <f>Y79*Inputs!$M$75*IF(Inputs!$M$126&gt;0,Inputs!$M$126,Y96*Inputs!$J$123)*$I$13</f>
        <v>25138702.789445922</v>
      </c>
      <c r="Z106" s="70">
        <f>Z79*Inputs!$M$75*IF(Inputs!$M$126&gt;0,Inputs!$M$126,Z96*Inputs!$J$123)*$I$13</f>
        <v>25138702.789445922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21633651.852300525</v>
      </c>
      <c r="P107" s="70">
        <f>P80*Inputs!$M$75*IF(Inputs!$M$126&gt;0,Inputs!$M$126,P99*Inputs!$J$123)*$I$13</f>
        <v>21770815.455537427</v>
      </c>
      <c r="Q107" s="70">
        <f>Q80*Inputs!$M$75*IF(Inputs!$M$126&gt;0,Inputs!$M$126,Q99*Inputs!$J$123)*$I$13</f>
        <v>21587351.901840821</v>
      </c>
      <c r="R107" s="70">
        <f>R80*Inputs!$M$75*IF(Inputs!$M$126&gt;0,Inputs!$M$126,R99*Inputs!$J$123)*$I$13</f>
        <v>22191132.193304494</v>
      </c>
      <c r="S107" s="70">
        <f>S80*Inputs!$M$75*IF(Inputs!$M$126&gt;0,Inputs!$M$126,S99*Inputs!$J$123)*$I$13</f>
        <v>22495699.054922298</v>
      </c>
      <c r="T107" s="70">
        <f>T80*Inputs!$M$75*IF(Inputs!$M$126&gt;0,Inputs!$M$126,T99*Inputs!$J$123)*$I$13</f>
        <v>23847078.858965144</v>
      </c>
      <c r="U107" s="70">
        <f>U80*Inputs!$M$75*IF(Inputs!$M$126&gt;0,Inputs!$M$126,U99*Inputs!$J$123)*$I$13</f>
        <v>25138702.789445922</v>
      </c>
      <c r="V107" s="70">
        <f>V80*Inputs!$M$75*IF(Inputs!$M$126&gt;0,Inputs!$M$126,V99*Inputs!$J$123)*$I$13</f>
        <v>25138702.789445922</v>
      </c>
      <c r="W107" s="70">
        <f>W80*Inputs!$M$75*IF(Inputs!$M$126&gt;0,Inputs!$M$126,W99*Inputs!$J$123)*$I$13</f>
        <v>25138702.789445922</v>
      </c>
      <c r="X107" s="70">
        <f>X80*Inputs!$M$75*IF(Inputs!$M$126&gt;0,Inputs!$M$126,X99*Inputs!$J$123)*$I$13</f>
        <v>25138702.789445922</v>
      </c>
      <c r="Y107" s="70">
        <f>Y80*Inputs!$M$75*IF(Inputs!$M$126&gt;0,Inputs!$M$126,Y99*Inputs!$J$123)*$I$13</f>
        <v>25138702.789445922</v>
      </c>
      <c r="Z107" s="70">
        <f>Z80*Inputs!$M$75*IF(Inputs!$M$126&gt;0,Inputs!$M$126,Z99*Inputs!$J$123)*$I$13</f>
        <v>25138702.789445922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169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170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4.9689754147419871E-2</v>
      </c>
      <c r="P114" s="56">
        <f>Inputs!P64*$I$9</f>
        <v>5.3301961555664593E-2</v>
      </c>
      <c r="Q114" s="56">
        <f>Inputs!Q64*$I$9</f>
        <v>5.7209408540142434E-2</v>
      </c>
      <c r="R114" s="56">
        <f>Inputs!R64*$I$9</f>
        <v>6.1437515136757957E-2</v>
      </c>
      <c r="S114" s="56">
        <f>Inputs!S64*$I$9</f>
        <v>6.6013959430656619E-2</v>
      </c>
      <c r="T114" s="56">
        <f>Inputs!T64*$I$9</f>
        <v>7.0968882110861359E-2</v>
      </c>
      <c r="U114" s="56">
        <f>Inputs!U64*$I$9</f>
        <v>7.6335109792992462E-2</v>
      </c>
      <c r="V114" s="56">
        <f>Inputs!V64*$I$9</f>
        <v>8.2148398846616177E-2</v>
      </c>
      <c r="W114" s="56">
        <f>Inputs!W64*$I$9</f>
        <v>8.8447701625344224E-2</v>
      </c>
      <c r="X114" s="56">
        <f>Inputs!X64*$I$9</f>
        <v>9.5275457174473652E-2</v>
      </c>
      <c r="Y114" s="56">
        <f>Inputs!Y64*$I$9</f>
        <v>0.10267790868412582</v>
      </c>
      <c r="Z114" s="56">
        <f>Inputs!Z64*$I$9</f>
        <v>0.1106554955956728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5.5210837941577643E-3</v>
      </c>
      <c r="P115" s="56">
        <f>Inputs!P65*$I$9</f>
        <v>5.9224401728516212E-3</v>
      </c>
      <c r="Q115" s="56">
        <f>Inputs!Q65*$I$9</f>
        <v>6.3566009489047157E-3</v>
      </c>
      <c r="R115" s="56">
        <f>Inputs!R65*$I$9</f>
        <v>6.8263905707508857E-3</v>
      </c>
      <c r="S115" s="56">
        <f>Inputs!S65*$I$9</f>
        <v>7.3348843811840694E-3</v>
      </c>
      <c r="T115" s="56">
        <f>Inputs!T65*$I$9</f>
        <v>7.8854313456512629E-3</v>
      </c>
      <c r="U115" s="56">
        <f>Inputs!U65*$I$9</f>
        <v>8.4816788658880534E-3</v>
      </c>
      <c r="V115" s="56">
        <f>Inputs!V65*$I$9</f>
        <v>9.1275998718462429E-3</v>
      </c>
      <c r="W115" s="56">
        <f>Inputs!W65*$I$9</f>
        <v>9.8275224028160271E-3</v>
      </c>
      <c r="X115" s="56">
        <f>Inputs!X65*$I$9</f>
        <v>1.0586161908274851E-2</v>
      </c>
      <c r="Y115" s="56">
        <f>Inputs!Y65*$I$9</f>
        <v>1.1408656520458426E-2</v>
      </c>
      <c r="Z115" s="56">
        <f>Inputs!Z65*$I$9</f>
        <v>1.2295055066185868E-2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171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18849.614670466486</v>
      </c>
      <c r="P119" s="70">
        <f t="shared" ref="P119:Z119" si="21">P103*P114*$T$37</f>
        <v>20280.817222063426</v>
      </c>
      <c r="Q119" s="70">
        <f t="shared" si="21"/>
        <v>21680.092998518572</v>
      </c>
      <c r="R119" s="70">
        <f t="shared" si="21"/>
        <v>23591.50042936494</v>
      </c>
      <c r="S119" s="70">
        <f t="shared" si="21"/>
        <v>25516.364596252028</v>
      </c>
      <c r="T119" s="70">
        <f t="shared" si="21"/>
        <v>28230.80597349237</v>
      </c>
      <c r="U119" s="70">
        <f t="shared" si="21"/>
        <v>31187.080272519233</v>
      </c>
      <c r="V119" s="70">
        <f t="shared" si="21"/>
        <v>33562.127781514413</v>
      </c>
      <c r="W119" s="70">
        <f t="shared" si="21"/>
        <v>36135.738561060702</v>
      </c>
      <c r="X119" s="70">
        <f t="shared" si="21"/>
        <v>38925.251289466913</v>
      </c>
      <c r="Y119" s="70">
        <f t="shared" si="21"/>
        <v>41949.558846906839</v>
      </c>
      <c r="Z119" s="70">
        <f t="shared" si="21"/>
        <v>45208.840769289738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22">$O$16</f>
        <v>Network Performance</v>
      </c>
      <c r="E120" s="51"/>
      <c r="F120" s="51"/>
      <c r="G120" s="51"/>
      <c r="H120" s="51"/>
      <c r="I120" s="51"/>
      <c r="J120" s="86" t="str">
        <f t="shared" ref="J120:J121" si="23">J104</f>
        <v>Major</v>
      </c>
      <c r="K120" s="51"/>
      <c r="L120" s="51"/>
      <c r="M120" s="51"/>
      <c r="N120" s="51"/>
      <c r="O120" s="138">
        <f>O105*O115*$T$27+IF(Inputs!$K$126=0,O103*O115*$T$27,0)</f>
        <v>121535.60628023936</v>
      </c>
      <c r="P120" s="138">
        <f>P105*P115*$T$27+IF(Inputs!$K$126=0,P103*P115*$T$27,0)</f>
        <v>131189.77618539866</v>
      </c>
      <c r="Q120" s="138">
        <f>Q105*Q115*$T$27+IF(Inputs!$K$126=0,Q103*Q115*$T$27,0)</f>
        <v>139631.08080563901</v>
      </c>
      <c r="R120" s="138">
        <f>R105*R115*$T$27+IF(Inputs!$K$126=0,R103*R115*$T$27,0)</f>
        <v>154106.6133841452</v>
      </c>
      <c r="S120" s="138">
        <f>S105*S115*$T$27+IF(Inputs!$K$126=0,S103*S115*$T$27,0)</f>
        <v>167838.50326357258</v>
      </c>
      <c r="T120" s="138">
        <f>T105*T115*$T$27+IF(Inputs!$K$126=0,T103*T115*$T$27,0)</f>
        <v>191181.25935597823</v>
      </c>
      <c r="U120" s="138">
        <f>U105*U115*$T$27+IF(Inputs!$K$126=0,U103*U115*$T$27,0)</f>
        <v>216683.63530647557</v>
      </c>
      <c r="V120" s="138">
        <f>V105*V115*$T$27+IF(Inputs!$K$126=0,V103*V115*$T$27,0)</f>
        <v>233185.14566838453</v>
      </c>
      <c r="W120" s="138">
        <f>W105*W115*$T$27+IF(Inputs!$K$126=0,W103*W115*$T$27,0)</f>
        <v>251066.24690335363</v>
      </c>
      <c r="X120" s="138">
        <f>X105*X115*$T$27+IF(Inputs!$K$126=0,X103*X115*$T$27,0)</f>
        <v>270447.40581412707</v>
      </c>
      <c r="Y120" s="138">
        <f>Y105*Y115*$T$27+IF(Inputs!$K$126=0,Y103*Y115*$T$27,0)</f>
        <v>291459.88758877938</v>
      </c>
      <c r="Z120" s="138">
        <f>Z105*Z115*$T$27+IF(Inputs!$K$126=0,Z103*Z115*$T$27,0)</f>
        <v>314104.93961863895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22"/>
        <v>Network Performance</v>
      </c>
      <c r="E121" s="87"/>
      <c r="F121" s="87"/>
      <c r="G121" s="87"/>
      <c r="H121" s="87"/>
      <c r="I121" s="87"/>
      <c r="J121" s="86" t="str">
        <f t="shared" si="23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4">P107*P116*$T$17</f>
        <v>0</v>
      </c>
      <c r="Q121" s="70">
        <f t="shared" si="24"/>
        <v>0</v>
      </c>
      <c r="R121" s="70">
        <f t="shared" si="24"/>
        <v>0</v>
      </c>
      <c r="S121" s="70">
        <f t="shared" si="24"/>
        <v>0</v>
      </c>
      <c r="T121" s="70">
        <f t="shared" si="24"/>
        <v>0</v>
      </c>
      <c r="U121" s="70">
        <f t="shared" si="24"/>
        <v>0</v>
      </c>
      <c r="V121" s="70">
        <f t="shared" si="24"/>
        <v>0</v>
      </c>
      <c r="W121" s="70">
        <f t="shared" si="24"/>
        <v>0</v>
      </c>
      <c r="X121" s="70">
        <f t="shared" si="24"/>
        <v>0</v>
      </c>
      <c r="Y121" s="70">
        <f t="shared" si="24"/>
        <v>0</v>
      </c>
      <c r="Z121" s="70">
        <f t="shared" si="24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189</v>
      </c>
      <c r="E122" s="51"/>
      <c r="F122" s="51"/>
      <c r="G122" s="51"/>
      <c r="H122" s="51"/>
      <c r="I122" s="51"/>
      <c r="J122" s="139" t="str">
        <f>J119</f>
        <v>Significant</v>
      </c>
      <c r="K122" s="51"/>
      <c r="L122" s="51"/>
      <c r="M122" s="51"/>
      <c r="N122" s="51"/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0</v>
      </c>
      <c r="Z122" s="117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172</v>
      </c>
      <c r="E124" s="51"/>
      <c r="F124" s="51"/>
      <c r="G124" s="51"/>
      <c r="H124" s="51"/>
      <c r="I124" s="51"/>
      <c r="J124" s="139" t="str">
        <f>J119</f>
        <v>Significant</v>
      </c>
      <c r="K124" s="51"/>
      <c r="L124" s="51"/>
      <c r="M124" s="51"/>
      <c r="N124" s="51"/>
      <c r="O124" s="88">
        <f t="shared" ref="O124:Z124" si="25">SUMIF($J$49:$J$51,$J124,$V$49:$V$51)*O114</f>
        <v>5838.5148713270464</v>
      </c>
      <c r="P124" s="88">
        <f t="shared" si="25"/>
        <v>6262.9469707249382</v>
      </c>
      <c r="Q124" s="88">
        <f t="shared" si="25"/>
        <v>6722.0695347068831</v>
      </c>
      <c r="R124" s="88">
        <f t="shared" si="25"/>
        <v>7218.8694015095552</v>
      </c>
      <c r="S124" s="88">
        <f t="shared" si="25"/>
        <v>7756.5987287357511</v>
      </c>
      <c r="T124" s="88">
        <f t="shared" si="25"/>
        <v>8338.7990283955787</v>
      </c>
      <c r="U124" s="88">
        <f t="shared" si="25"/>
        <v>8969.3274071856395</v>
      </c>
      <c r="V124" s="88">
        <f t="shared" si="25"/>
        <v>9652.3852160491824</v>
      </c>
      <c r="W124" s="88">
        <f t="shared" si="25"/>
        <v>10392.549332045422</v>
      </c>
      <c r="X124" s="88">
        <f t="shared" si="25"/>
        <v>11194.806316314438</v>
      </c>
      <c r="Y124" s="88">
        <f t="shared" si="25"/>
        <v>12064.589714621425</v>
      </c>
      <c r="Z124" s="88">
        <f t="shared" si="25"/>
        <v>13001.951161051313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173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6">SUMIF($J$49:$J$51,$J125,$V$49:$V$51)*O115</f>
        <v>131362.62525616039</v>
      </c>
      <c r="P125" s="70">
        <f t="shared" si="26"/>
        <v>140912.05966690433</v>
      </c>
      <c r="Q125" s="70">
        <f t="shared" si="26"/>
        <v>151242.00600568953</v>
      </c>
      <c r="R125" s="70">
        <f t="shared" si="26"/>
        <v>162419.6661073374</v>
      </c>
      <c r="S125" s="70">
        <f t="shared" si="26"/>
        <v>174518.21131248242</v>
      </c>
      <c r="T125" s="70">
        <f t="shared" si="26"/>
        <v>187617.32323970017</v>
      </c>
      <c r="U125" s="70">
        <f t="shared" si="26"/>
        <v>201803.78417399374</v>
      </c>
      <c r="V125" s="70">
        <f t="shared" si="26"/>
        <v>217172.12166246897</v>
      </c>
      <c r="W125" s="70">
        <f t="shared" si="26"/>
        <v>233825.31233518053</v>
      </c>
      <c r="X125" s="70">
        <f t="shared" si="26"/>
        <v>251875.55043617805</v>
      </c>
      <c r="Y125" s="70">
        <f t="shared" si="26"/>
        <v>271445.08706045675</v>
      </c>
      <c r="Z125" s="70">
        <f t="shared" si="26"/>
        <v>292535.08393991221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174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7">SUMIF($J$49:$J$51,$J126,$V$49:$V$51)*O116</f>
        <v>0</v>
      </c>
      <c r="P126" s="70">
        <f t="shared" si="27"/>
        <v>0</v>
      </c>
      <c r="Q126" s="70">
        <f t="shared" si="27"/>
        <v>0</v>
      </c>
      <c r="R126" s="70">
        <f t="shared" si="27"/>
        <v>0</v>
      </c>
      <c r="S126" s="70">
        <f t="shared" si="27"/>
        <v>0</v>
      </c>
      <c r="T126" s="70">
        <f t="shared" si="27"/>
        <v>0</v>
      </c>
      <c r="U126" s="70">
        <f t="shared" si="27"/>
        <v>0</v>
      </c>
      <c r="V126" s="70">
        <f t="shared" si="27"/>
        <v>0</v>
      </c>
      <c r="W126" s="70">
        <f t="shared" si="27"/>
        <v>0</v>
      </c>
      <c r="X126" s="70">
        <f t="shared" si="27"/>
        <v>0</v>
      </c>
      <c r="Y126" s="70">
        <f t="shared" si="27"/>
        <v>0</v>
      </c>
      <c r="Z126" s="70">
        <f t="shared" si="27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175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47045.649557522127</v>
      </c>
      <c r="P127" s="70">
        <f>Inputs!$J$27*$I$11</f>
        <v>47045.649557522127</v>
      </c>
      <c r="Q127" s="70">
        <f>Inputs!$J$27*$I$11</f>
        <v>47045.649557522127</v>
      </c>
      <c r="R127" s="70">
        <f>Inputs!$J$27*$I$11</f>
        <v>47045.649557522127</v>
      </c>
      <c r="S127" s="70">
        <f>Inputs!$J$27*$I$11</f>
        <v>47045.649557522127</v>
      </c>
      <c r="T127" s="70">
        <f>Inputs!$J$27*$I$11</f>
        <v>47045.649557522127</v>
      </c>
      <c r="U127" s="70">
        <f>Inputs!$J$27*$I$11</f>
        <v>47045.649557522127</v>
      </c>
      <c r="V127" s="70">
        <f>Inputs!$J$27*$I$11</f>
        <v>47045.649557522127</v>
      </c>
      <c r="W127" s="70">
        <f>Inputs!$J$27*$I$11</f>
        <v>47045.649557522127</v>
      </c>
      <c r="X127" s="70">
        <f>Inputs!$J$27*$I$11</f>
        <v>47045.649557522127</v>
      </c>
      <c r="Y127" s="70">
        <f>Inputs!$J$27*$I$11</f>
        <v>47045.649557522127</v>
      </c>
      <c r="Z127" s="70">
        <f>Inputs!$J$27*$I$11</f>
        <v>47045.649557522127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163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324632.01063571544</v>
      </c>
      <c r="P128" s="98">
        <f t="shared" ref="P128:Z128" si="28">SUM(P119:P127)</f>
        <v>345691.2496026135</v>
      </c>
      <c r="Q128" s="98">
        <f t="shared" si="28"/>
        <v>366320.89890207618</v>
      </c>
      <c r="R128" s="98">
        <f t="shared" si="28"/>
        <v>394382.29887987924</v>
      </c>
      <c r="S128" s="98">
        <f t="shared" si="28"/>
        <v>422675.32745856495</v>
      </c>
      <c r="T128" s="98">
        <f t="shared" si="28"/>
        <v>462413.83715508849</v>
      </c>
      <c r="U128" s="98">
        <f t="shared" si="28"/>
        <v>505689.47671769629</v>
      </c>
      <c r="V128" s="98">
        <f t="shared" si="28"/>
        <v>540617.42988593923</v>
      </c>
      <c r="W128" s="98">
        <f t="shared" si="28"/>
        <v>578465.49668916245</v>
      </c>
      <c r="X128" s="98">
        <f t="shared" si="28"/>
        <v>619488.66341360856</v>
      </c>
      <c r="Y128" s="98">
        <f t="shared" si="28"/>
        <v>663964.77276828652</v>
      </c>
      <c r="Z128" s="98">
        <f t="shared" si="28"/>
        <v>711896.46504641429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176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177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178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Inputs!O22*'Base Case'!$I$10</f>
        <v>0</v>
      </c>
      <c r="P135" s="70">
        <f>Inputs!P22*'Base Case'!$I$10</f>
        <v>0</v>
      </c>
      <c r="Q135" s="70">
        <f>Inputs!Q22*'Base Case'!$I$10</f>
        <v>77718.584070796467</v>
      </c>
      <c r="R135" s="70">
        <f>Inputs!R22*'Base Case'!$I$10</f>
        <v>2278812.5097345132</v>
      </c>
      <c r="S135" s="70">
        <f>Inputs!S22*'Base Case'!$I$10</f>
        <v>6083515.5777978357</v>
      </c>
      <c r="T135" s="70">
        <f>Inputs!T22*'Base Case'!$I$10</f>
        <v>0</v>
      </c>
      <c r="U135" s="70">
        <f>Inputs!U22*'Base Case'!$I$10</f>
        <v>0</v>
      </c>
      <c r="V135" s="70">
        <f>Inputs!V22*'Base Case'!$I$10</f>
        <v>0</v>
      </c>
      <c r="W135" s="70">
        <f>Inputs!W22*'Base Case'!$I$10</f>
        <v>0</v>
      </c>
      <c r="X135" s="70">
        <f>Inputs!X22*'Base Case'!$I$10</f>
        <v>0</v>
      </c>
      <c r="Y135" s="70">
        <f>Inputs!Y22*'Base Case'!$I$10</f>
        <v>0</v>
      </c>
      <c r="Z135" s="70">
        <f>Inputs!Z22*'Base Case'!$I$10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179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9">(P135&lt;&gt;0)*1</f>
        <v>0</v>
      </c>
      <c r="Q136" s="70">
        <f t="shared" si="29"/>
        <v>1</v>
      </c>
      <c r="R136" s="70">
        <f t="shared" si="29"/>
        <v>1</v>
      </c>
      <c r="S136" s="70">
        <f t="shared" si="29"/>
        <v>1</v>
      </c>
      <c r="T136" s="70">
        <f t="shared" si="29"/>
        <v>0</v>
      </c>
      <c r="U136" s="70">
        <f t="shared" si="29"/>
        <v>0</v>
      </c>
      <c r="V136" s="70">
        <f t="shared" si="29"/>
        <v>0</v>
      </c>
      <c r="W136" s="70">
        <f t="shared" si="29"/>
        <v>0</v>
      </c>
      <c r="X136" s="70">
        <f t="shared" si="29"/>
        <v>0</v>
      </c>
      <c r="Y136" s="70">
        <f t="shared" si="29"/>
        <v>0</v>
      </c>
      <c r="Z136" s="70">
        <f t="shared" si="29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180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1.0557562500000002</v>
      </c>
      <c r="R137" s="56">
        <f>(R136=1)*(1+Inputs!$J$11)^(SUM(R136:$Z136)-1)</f>
        <v>1.0275000000000001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181</v>
      </c>
      <c r="E138" s="51"/>
      <c r="F138" s="51"/>
      <c r="G138" s="51"/>
      <c r="H138" s="51"/>
      <c r="I138" s="51"/>
      <c r="J138" s="70">
        <f>PMT(Inputs!$J$11,Inputs!$J$12,-SUMPRODUCT('Base Case'!O135:Z135,'Base Case'!O137:Z137),0,0)</f>
        <v>315108.85469397996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182</v>
      </c>
      <c r="E139" s="51"/>
      <c r="F139" s="51"/>
      <c r="G139" s="51"/>
      <c r="H139" s="51"/>
      <c r="I139" s="51"/>
      <c r="J139" s="70">
        <f>Inputs!K27*$I$11</f>
        <v>20828.580530973453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183</v>
      </c>
      <c r="E140" s="51"/>
      <c r="F140" s="51"/>
      <c r="G140" s="51"/>
      <c r="H140" s="51"/>
      <c r="I140" s="51"/>
      <c r="J140" s="70">
        <f>SUM(J138:J139)</f>
        <v>335937.4352249534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184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185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30">O2</f>
        <v>2019</v>
      </c>
      <c r="P146" s="86">
        <f t="shared" si="30"/>
        <v>2020</v>
      </c>
      <c r="Q146" s="86">
        <f t="shared" si="30"/>
        <v>2021</v>
      </c>
      <c r="R146" s="86">
        <f t="shared" si="30"/>
        <v>2022</v>
      </c>
      <c r="S146" s="86">
        <f t="shared" si="30"/>
        <v>2023</v>
      </c>
      <c r="T146" s="86">
        <f t="shared" si="30"/>
        <v>2024</v>
      </c>
      <c r="U146" s="86">
        <f t="shared" si="30"/>
        <v>2025</v>
      </c>
      <c r="V146" s="86">
        <f t="shared" si="30"/>
        <v>2026</v>
      </c>
      <c r="W146" s="86">
        <f t="shared" si="30"/>
        <v>2027</v>
      </c>
      <c r="X146" s="86">
        <f t="shared" si="30"/>
        <v>2028</v>
      </c>
      <c r="Y146" s="86">
        <f t="shared" si="30"/>
        <v>2029</v>
      </c>
      <c r="Z146" s="86">
        <f t="shared" si="30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186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324632.01063571544</v>
      </c>
      <c r="P147" s="70">
        <f t="shared" ref="P147:Z147" si="31">P128</f>
        <v>345691.2496026135</v>
      </c>
      <c r="Q147" s="70">
        <f t="shared" si="31"/>
        <v>366320.89890207618</v>
      </c>
      <c r="R147" s="70">
        <f t="shared" si="31"/>
        <v>394382.29887987924</v>
      </c>
      <c r="S147" s="70">
        <f t="shared" si="31"/>
        <v>422675.32745856495</v>
      </c>
      <c r="T147" s="70">
        <f t="shared" si="31"/>
        <v>462413.83715508849</v>
      </c>
      <c r="U147" s="70">
        <f t="shared" si="31"/>
        <v>505689.47671769629</v>
      </c>
      <c r="V147" s="70">
        <f t="shared" si="31"/>
        <v>540617.42988593923</v>
      </c>
      <c r="W147" s="70">
        <f t="shared" si="31"/>
        <v>578465.49668916245</v>
      </c>
      <c r="X147" s="70">
        <f t="shared" si="31"/>
        <v>619488.66341360856</v>
      </c>
      <c r="Y147" s="70">
        <f t="shared" si="31"/>
        <v>663964.77276828652</v>
      </c>
      <c r="Z147" s="70">
        <f t="shared" si="31"/>
        <v>711896.46504641429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176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335937.4352249534</v>
      </c>
      <c r="P148" s="70">
        <f t="shared" ref="P148:Z148" si="32">$J$140</f>
        <v>335937.4352249534</v>
      </c>
      <c r="Q148" s="70">
        <f t="shared" si="32"/>
        <v>335937.4352249534</v>
      </c>
      <c r="R148" s="70">
        <f t="shared" si="32"/>
        <v>335937.4352249534</v>
      </c>
      <c r="S148" s="70">
        <f t="shared" si="32"/>
        <v>335937.4352249534</v>
      </c>
      <c r="T148" s="70">
        <f t="shared" si="32"/>
        <v>335937.4352249534</v>
      </c>
      <c r="U148" s="70">
        <f t="shared" si="32"/>
        <v>335937.4352249534</v>
      </c>
      <c r="V148" s="70">
        <f t="shared" si="32"/>
        <v>335937.4352249534</v>
      </c>
      <c r="W148" s="70">
        <f t="shared" si="32"/>
        <v>335937.4352249534</v>
      </c>
      <c r="X148" s="70">
        <f t="shared" si="32"/>
        <v>335937.4352249534</v>
      </c>
      <c r="Y148" s="70">
        <f t="shared" si="32"/>
        <v>335937.4352249534</v>
      </c>
      <c r="Z148" s="70">
        <f t="shared" si="32"/>
        <v>335937.4352249534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187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33">(P147&gt;=P148)</f>
        <v>1</v>
      </c>
      <c r="Q149" s="99" t="b">
        <f t="shared" si="33"/>
        <v>1</v>
      </c>
      <c r="R149" s="99" t="b">
        <f t="shared" si="33"/>
        <v>1</v>
      </c>
      <c r="S149" s="99" t="b">
        <f t="shared" si="33"/>
        <v>1</v>
      </c>
      <c r="T149" s="99" t="b">
        <f t="shared" si="33"/>
        <v>1</v>
      </c>
      <c r="U149" s="99" t="b">
        <f t="shared" si="33"/>
        <v>1</v>
      </c>
      <c r="V149" s="99" t="b">
        <f t="shared" si="33"/>
        <v>1</v>
      </c>
      <c r="W149" s="99" t="b">
        <f t="shared" si="33"/>
        <v>1</v>
      </c>
      <c r="X149" s="99" t="b">
        <f t="shared" si="33"/>
        <v>1</v>
      </c>
      <c r="Y149" s="99" t="b">
        <f t="shared" si="33"/>
        <v>1</v>
      </c>
      <c r="Z149" s="99" t="b">
        <f t="shared" si="33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147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</sheetData>
  <pageMargins left="0.7" right="0.7" top="0.75" bottom="0.75" header="0.3" footer="0.3"/>
  <pageSetup paperSize="9" orientation="portrait" r:id="rId1"/>
  <ignoredErrors>
    <ignoredError sqref="D87:F99" unlockedFormula="1"/>
  </ignoredError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topLeftCell="A1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B Switchboard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A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A: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148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149</v>
      </c>
      <c r="D8" s="51"/>
      <c r="E8" s="51"/>
      <c r="F8" s="51"/>
      <c r="G8" s="51"/>
      <c r="H8" s="51"/>
      <c r="I8" s="55" t="s">
        <v>29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A'!$I$8,Inputs!$D$52:$D$57,0),MATCH('Scenario A'!$D9,Inputs!$D$52:$O$52,0))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A'!$I$8,Inputs!$D$52:$D$57,0),MATCH('Scenario A'!$D10,Inputs!$D$52:$O$52,0))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A'!$I$8,Inputs!$D$52:$D$57,0),MATCH('Scenario A'!$D11,Inputs!$D$52:$O$52,0))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A'!$I$8,Inputs!$D$52:$D$57,0),MATCH('Scenario A'!$D12,Inputs!$D$52:$O$52,0))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A'!$I$8,Inputs!$D$52:$D$57,0),MATCH('Scenario A'!$D13,Inputs!$D$52:$O$52,0))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A'!$I$8,Inputs!$D$52:$D$57,0),MATCH('Scenario A'!$D14,Inputs!$D$52:$O$52,0))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69</v>
      </c>
      <c r="J16" s="58" t="s">
        <v>150</v>
      </c>
      <c r="K16" s="58" t="s">
        <v>151</v>
      </c>
      <c r="L16" s="58"/>
      <c r="M16" s="58"/>
      <c r="N16" s="59"/>
      <c r="O16" s="57" t="s">
        <v>152</v>
      </c>
      <c r="P16" s="58" t="s">
        <v>153</v>
      </c>
      <c r="Q16" s="58" t="s">
        <v>154</v>
      </c>
      <c r="R16" s="58" t="s">
        <v>155</v>
      </c>
      <c r="S16" s="58" t="s">
        <v>25</v>
      </c>
      <c r="T16" s="60" t="s">
        <v>156</v>
      </c>
      <c r="U16" s="57" t="s">
        <v>157</v>
      </c>
      <c r="V16" s="61" t="s">
        <v>158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A'!J17,Inputs!$D$64:$D$66,0))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A'!J18,Inputs!$D$64:$D$66,0))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A'!J19,Inputs!$D$64:$D$66,0))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A'!J20,Inputs!$D$64:$D$66,0))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A'!J21,Inputs!$D$64:$D$66,0))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A'!J22,Inputs!$D$64:$D$66,0))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A'!J23,Inputs!$D$64:$D$66,0))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A'!J24,Inputs!$D$64:$D$66,0))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A'!J25,Inputs!$D$64:$D$66,0))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A'!J26,Inputs!$D$64:$D$66,0))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A'!J27,Inputs!$D$64:$D$66,0))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17421817.702653099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17421817.702653099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A'!J28,Inputs!$D$64:$D$66,0))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32586.166129224315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32586.166129224315</v>
      </c>
      <c r="V28" s="75">
        <f t="shared" si="1"/>
        <v>32586.166129224315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A'!J29,Inputs!$D$64:$D$66,0))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16690438.080689223</v>
      </c>
      <c r="R29" s="71">
        <v>0</v>
      </c>
      <c r="S29" s="72">
        <v>0</v>
      </c>
      <c r="T29" s="73">
        <f>'Base Case'!$T29</f>
        <v>1</v>
      </c>
      <c r="U29" s="74">
        <f t="shared" si="0"/>
        <v>16690438.080689223</v>
      </c>
      <c r="V29" s="75">
        <f t="shared" si="1"/>
        <v>16690438.080689223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A'!J30,Inputs!$D$64:$D$66,0))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9284051.3387634605</v>
      </c>
      <c r="S30" s="72">
        <v>0</v>
      </c>
      <c r="T30" s="73">
        <f>'Base Case'!$T30</f>
        <v>1</v>
      </c>
      <c r="U30" s="74">
        <f t="shared" si="0"/>
        <v>9284051.3387634605</v>
      </c>
      <c r="V30" s="75">
        <f t="shared" si="1"/>
        <v>9284051.3387634605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A'!J31,Inputs!$D$64:$D$66,0))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Inputs!$K$105*$I$14</f>
        <v>85801.316814159305</v>
      </c>
      <c r="T31" s="73">
        <f>'Base Case'!$T31</f>
        <v>1</v>
      </c>
      <c r="U31" s="74">
        <f t="shared" si="0"/>
        <v>85801.316814159305</v>
      </c>
      <c r="V31" s="75">
        <f t="shared" si="1"/>
        <v>85801.316814159305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A'!J32,Inputs!$D$64:$D$66,0))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A'!J33,Inputs!$D$64:$D$66,0))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A'!J34,Inputs!$D$64:$D$66,0))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A'!J35,Inputs!$D$64:$D$66,0))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A'!J36,Inputs!$D$64:$D$66,0))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A'!J37,Inputs!$D$64:$D$66,0))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324340.91936608404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324340.91936608404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A'!J38,Inputs!$D$64:$D$66,0))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6517.2332258448641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6517.2332258448641</v>
      </c>
      <c r="V38" s="75">
        <f t="shared" si="1"/>
        <v>6517.2332258448641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A'!J39,Inputs!$D$64:$D$66,0))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A'!J40,Inputs!$D$64:$D$66,0))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51750.214513274346</v>
      </c>
      <c r="S40" s="72">
        <v>0</v>
      </c>
      <c r="T40" s="73">
        <f>'Base Case'!$T40</f>
        <v>1</v>
      </c>
      <c r="U40" s="74">
        <f t="shared" si="0"/>
        <v>51750.214513274346</v>
      </c>
      <c r="V40" s="75">
        <f t="shared" si="1"/>
        <v>51750.214513274346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A'!J41,Inputs!$D$64:$D$66,0))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Inputs!$J$105*$I$14</f>
        <v>10911.689203539825</v>
      </c>
      <c r="T41" s="73">
        <f>'Base Case'!$T41</f>
        <v>1</v>
      </c>
      <c r="U41" s="74">
        <f t="shared" si="0"/>
        <v>10911.689203539825</v>
      </c>
      <c r="V41" s="75">
        <f t="shared" si="1"/>
        <v>10911.689203539825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A'!J42,Inputs!$D$64:$D$66,0))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A'!J43,Inputs!$D$64:$D$66,0))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A'!J44,Inputs!$D$64:$D$66,0))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A'!J45,Inputs!$D$64:$D$66,0))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A'!J46,Inputs!$D$64:$D$66,0))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A'!J49,Inputs!$D$64:$D$66,0))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324340.91936608404</v>
      </c>
      <c r="P49" s="70">
        <f t="shared" ref="P49:V49" si="2">SUMIF($I$17:$I$46,$I49,P$17:P$46)</f>
        <v>6517.2332258448641</v>
      </c>
      <c r="Q49" s="70">
        <f t="shared" si="2"/>
        <v>56993.62831858408</v>
      </c>
      <c r="R49" s="70">
        <f t="shared" si="2"/>
        <v>51750.214513274346</v>
      </c>
      <c r="S49" s="70">
        <f t="shared" si="2"/>
        <v>10911.689203539825</v>
      </c>
      <c r="T49" s="56">
        <f>U49/SUM(O49:S49)</f>
        <v>1</v>
      </c>
      <c r="U49" s="70">
        <f t="shared" si="2"/>
        <v>450513.68462732708</v>
      </c>
      <c r="V49" s="70">
        <f t="shared" si="2"/>
        <v>126172.76526124313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A'!J50,Inputs!$D$64:$D$66,0))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17421817.702653099</v>
      </c>
      <c r="P50" s="70">
        <f t="shared" si="3"/>
        <v>32586.166129224315</v>
      </c>
      <c r="Q50" s="70">
        <f t="shared" si="3"/>
        <v>16747431.709007807</v>
      </c>
      <c r="R50" s="70">
        <f t="shared" si="3"/>
        <v>9284051.3387634605</v>
      </c>
      <c r="S50" s="70">
        <f t="shared" si="3"/>
        <v>85801.316814159305</v>
      </c>
      <c r="T50" s="56">
        <f t="shared" ref="T50:T51" si="4">U50/SUM(O50:S50)</f>
        <v>1.0000000000000002</v>
      </c>
      <c r="U50" s="70">
        <f t="shared" si="3"/>
        <v>43571688.233367756</v>
      </c>
      <c r="V50" s="70">
        <f t="shared" si="3"/>
        <v>26149870.53071465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A'!J51,Inputs!$D$64:$D$66,0))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44022201.91799508</v>
      </c>
      <c r="V52" s="88">
        <f>SUM(V49:V51)</f>
        <v>26276043.295975894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A: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50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51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52</v>
      </c>
      <c r="D59" s="51"/>
      <c r="E59" s="51"/>
      <c r="F59" s="51"/>
      <c r="G59" s="51"/>
      <c r="H59" s="51"/>
      <c r="I59" s="51"/>
      <c r="J59" s="70">
        <f>Inputs!J80</f>
        <v>58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53</v>
      </c>
      <c r="E60" s="51"/>
      <c r="F60" s="51"/>
      <c r="G60" s="51"/>
      <c r="H60" s="51"/>
      <c r="I60" s="51"/>
      <c r="J60" s="70">
        <f>Inputs!J81</f>
        <v>29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54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55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56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57</v>
      </c>
      <c r="E64" s="87"/>
      <c r="F64" s="87"/>
      <c r="G64" s="87"/>
      <c r="H64" s="87"/>
      <c r="I64" s="87"/>
      <c r="J64" s="70">
        <f>Inputs!J85</f>
        <v>16.509999999999998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31.325299999999995</v>
      </c>
      <c r="P69" s="70">
        <f>Inputs!P185*$I$12</f>
        <v>31.645449999999997</v>
      </c>
      <c r="Q69" s="70">
        <f>Inputs!Q185*$I$12</f>
        <v>31.195150000000002</v>
      </c>
      <c r="R69" s="70">
        <f>Inputs!R185*$I$12</f>
        <v>31.585599999999996</v>
      </c>
      <c r="S69" s="70">
        <f>Inputs!S185*$I$12</f>
        <v>31.988399999999995</v>
      </c>
      <c r="T69" s="70">
        <f>Inputs!T185*$I$12</f>
        <v>32.729399999999998</v>
      </c>
      <c r="U69" s="70">
        <f>Inputs!U185*$I$12</f>
        <v>34.062249999999999</v>
      </c>
      <c r="V69" s="70">
        <f>Inputs!V185*$I$12</f>
        <v>34.062249999999999</v>
      </c>
      <c r="W69" s="70">
        <f>Inputs!W185*$I$12</f>
        <v>34.062249999999999</v>
      </c>
      <c r="X69" s="70">
        <f>Inputs!X185*$I$12</f>
        <v>34.062249999999999</v>
      </c>
      <c r="Y69" s="70">
        <f>Inputs!Y185*$I$12</f>
        <v>34.062249999999999</v>
      </c>
      <c r="Z69" s="70">
        <f>Inputs!Z185*$I$12</f>
        <v>34.062249999999999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29.273299999999999</v>
      </c>
      <c r="P70" s="70">
        <f>Inputs!P186*$I$12</f>
        <v>29.264749999999999</v>
      </c>
      <c r="Q70" s="70">
        <f>Inputs!Q186*$I$12</f>
        <v>29.28565</v>
      </c>
      <c r="R70" s="70">
        <f>Inputs!R186*$I$12</f>
        <v>29.684649999999998</v>
      </c>
      <c r="S70" s="70">
        <f>Inputs!S186*$I$12</f>
        <v>29.797699999999999</v>
      </c>
      <c r="T70" s="70">
        <f>Inputs!T186*$I$12</f>
        <v>30.747699999999998</v>
      </c>
      <c r="U70" s="70">
        <f>Inputs!U186*$I$12</f>
        <v>31.387999999999998</v>
      </c>
      <c r="V70" s="70">
        <f>Inputs!V186*$I$12</f>
        <v>31.387999999999998</v>
      </c>
      <c r="W70" s="70">
        <f>Inputs!W186*$I$12</f>
        <v>31.387999999999998</v>
      </c>
      <c r="X70" s="70">
        <f>Inputs!X186*$I$12</f>
        <v>31.387999999999998</v>
      </c>
      <c r="Y70" s="70">
        <f>Inputs!Y186*$I$12</f>
        <v>31.387999999999998</v>
      </c>
      <c r="Z70" s="70">
        <f>Inputs!Z186*$I$12</f>
        <v>31.387999999999998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29.888899999999996</v>
      </c>
      <c r="P71" s="70">
        <f>Inputs!P187*$I$12</f>
        <v>29.978959999999997</v>
      </c>
      <c r="Q71" s="70">
        <f>Inputs!Q187*$I$12</f>
        <v>29.858500000000003</v>
      </c>
      <c r="R71" s="70">
        <f>Inputs!R187*$I$12</f>
        <v>30.254934999999996</v>
      </c>
      <c r="S71" s="70">
        <f>Inputs!S187*$I$12</f>
        <v>30.454909999999998</v>
      </c>
      <c r="T71" s="70">
        <f>Inputs!T187*$I$12</f>
        <v>31.342209999999998</v>
      </c>
      <c r="U71" s="70">
        <f>Inputs!U187*$I$12</f>
        <v>32.190274999999993</v>
      </c>
      <c r="V71" s="70">
        <f>Inputs!V187*$I$12</f>
        <v>32.190274999999993</v>
      </c>
      <c r="W71" s="70">
        <f>Inputs!W187*$I$12</f>
        <v>32.190274999999993</v>
      </c>
      <c r="X71" s="70">
        <f>Inputs!X187*$I$12</f>
        <v>32.190274999999993</v>
      </c>
      <c r="Y71" s="70">
        <f>Inputs!Y187*$I$12</f>
        <v>32.190274999999993</v>
      </c>
      <c r="Z71" s="70">
        <f>Inputs!Z187*$I$12</f>
        <v>32.190274999999993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141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142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143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13.378899999999998</v>
      </c>
      <c r="P78" s="70">
        <f t="shared" si="5"/>
        <v>13.468959999999999</v>
      </c>
      <c r="Q78" s="70">
        <f t="shared" si="5"/>
        <v>13.348500000000005</v>
      </c>
      <c r="R78" s="70">
        <f t="shared" si="5"/>
        <v>13.744934999999998</v>
      </c>
      <c r="S78" s="70">
        <f t="shared" si="5"/>
        <v>13.94491</v>
      </c>
      <c r="T78" s="70">
        <f t="shared" si="5"/>
        <v>14.83221</v>
      </c>
      <c r="U78" s="70">
        <f t="shared" si="5"/>
        <v>15.680274999999995</v>
      </c>
      <c r="V78" s="70">
        <f t="shared" si="5"/>
        <v>15.680274999999995</v>
      </c>
      <c r="W78" s="70">
        <f t="shared" si="5"/>
        <v>15.680274999999995</v>
      </c>
      <c r="X78" s="70">
        <f t="shared" si="5"/>
        <v>15.680274999999995</v>
      </c>
      <c r="Y78" s="70">
        <f t="shared" si="5"/>
        <v>15.680274999999995</v>
      </c>
      <c r="Z78" s="70">
        <f t="shared" si="5"/>
        <v>15.680274999999995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144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13.378899999999998</v>
      </c>
      <c r="P79" s="70">
        <f t="shared" si="5"/>
        <v>13.468959999999999</v>
      </c>
      <c r="Q79" s="70">
        <f t="shared" si="5"/>
        <v>13.348500000000005</v>
      </c>
      <c r="R79" s="70">
        <f t="shared" si="5"/>
        <v>13.744934999999998</v>
      </c>
      <c r="S79" s="70">
        <f t="shared" si="5"/>
        <v>13.94491</v>
      </c>
      <c r="T79" s="70">
        <f t="shared" si="5"/>
        <v>14.83221</v>
      </c>
      <c r="U79" s="70">
        <f t="shared" si="5"/>
        <v>15.680274999999995</v>
      </c>
      <c r="V79" s="70">
        <f t="shared" si="5"/>
        <v>15.680274999999995</v>
      </c>
      <c r="W79" s="70">
        <f t="shared" si="5"/>
        <v>15.680274999999995</v>
      </c>
      <c r="X79" s="70">
        <f t="shared" si="5"/>
        <v>15.680274999999995</v>
      </c>
      <c r="Y79" s="70">
        <f t="shared" si="5"/>
        <v>15.680274999999995</v>
      </c>
      <c r="Z79" s="70">
        <f t="shared" si="5"/>
        <v>15.680274999999995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145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13.378899999999998</v>
      </c>
      <c r="P80" s="70">
        <f t="shared" si="5"/>
        <v>13.468959999999999</v>
      </c>
      <c r="Q80" s="70">
        <f t="shared" si="5"/>
        <v>13.348500000000005</v>
      </c>
      <c r="R80" s="70">
        <f t="shared" si="5"/>
        <v>13.744934999999998</v>
      </c>
      <c r="S80" s="70">
        <f t="shared" si="5"/>
        <v>13.94491</v>
      </c>
      <c r="T80" s="70">
        <f t="shared" si="5"/>
        <v>14.83221</v>
      </c>
      <c r="U80" s="70">
        <f t="shared" si="5"/>
        <v>15.680274999999995</v>
      </c>
      <c r="V80" s="70">
        <f t="shared" si="5"/>
        <v>15.680274999999995</v>
      </c>
      <c r="W80" s="70">
        <f t="shared" si="5"/>
        <v>15.680274999999995</v>
      </c>
      <c r="X80" s="70">
        <f t="shared" si="5"/>
        <v>15.680274999999995</v>
      </c>
      <c r="Y80" s="70">
        <f t="shared" si="5"/>
        <v>15.680274999999995</v>
      </c>
      <c r="Z80" s="70">
        <f t="shared" si="5"/>
        <v>15.680274999999995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164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165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166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167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165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0.5</v>
      </c>
      <c r="V95" s="70">
        <f t="shared" si="13"/>
        <v>0.5</v>
      </c>
      <c r="W95" s="70">
        <f t="shared" si="13"/>
        <v>0.5</v>
      </c>
      <c r="X95" s="70">
        <f t="shared" si="13"/>
        <v>0.5</v>
      </c>
      <c r="Y95" s="70">
        <f t="shared" si="13"/>
        <v>0.5</v>
      </c>
      <c r="Z95" s="70">
        <f t="shared" si="13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2.5</v>
      </c>
      <c r="V96" s="93">
        <f t="shared" si="14"/>
        <v>2.5</v>
      </c>
      <c r="W96" s="93">
        <f t="shared" si="14"/>
        <v>2.5</v>
      </c>
      <c r="X96" s="93">
        <f t="shared" si="14"/>
        <v>2.5</v>
      </c>
      <c r="Y96" s="93">
        <f t="shared" si="14"/>
        <v>2.5</v>
      </c>
      <c r="Z96" s="93">
        <f t="shared" si="14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0.5</v>
      </c>
      <c r="V98" s="70">
        <f t="shared" si="15"/>
        <v>0.5</v>
      </c>
      <c r="W98" s="70">
        <f t="shared" si="15"/>
        <v>0.5</v>
      </c>
      <c r="X98" s="70">
        <f t="shared" si="15"/>
        <v>0.5</v>
      </c>
      <c r="Y98" s="70">
        <f t="shared" si="15"/>
        <v>0.5</v>
      </c>
      <c r="Z98" s="70">
        <f t="shared" si="15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2.5</v>
      </c>
      <c r="V99" s="93">
        <f t="shared" si="16"/>
        <v>2.5</v>
      </c>
      <c r="W99" s="93">
        <f t="shared" si="16"/>
        <v>2.5</v>
      </c>
      <c r="X99" s="93">
        <f t="shared" si="16"/>
        <v>2.5</v>
      </c>
      <c r="Y99" s="93">
        <f t="shared" si="16"/>
        <v>2.5</v>
      </c>
      <c r="Z99" s="93">
        <f t="shared" si="16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168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324340.91936608404</v>
      </c>
      <c r="P103" s="138">
        <f>IF(Inputs!$J$126&gt;0,P71*Inputs!$M$81/Inputs!$M$80*Inputs!$M$75*Inputs!$J$126,P77*Inputs!$M$75*P90*Inputs!$J$123)*$I$13</f>
        <v>325318.21003914694</v>
      </c>
      <c r="Q103" s="138">
        <f>IF(Inputs!$J$126&gt;0,Q71*Inputs!$M$81/Inputs!$M$80*Inputs!$M$75*Inputs!$J$126,Q77*Inputs!$M$75*Q90*Inputs!$J$123)*$I$13</f>
        <v>324011.03221905866</v>
      </c>
      <c r="R103" s="138">
        <f>IF(Inputs!$J$126&gt;0,R71*Inputs!$M$81/Inputs!$M$80*Inputs!$M$75*Inputs!$J$126,R77*Inputs!$M$75*R90*Inputs!$J$123)*$I$13</f>
        <v>328312.96679573733</v>
      </c>
      <c r="S103" s="138">
        <f>IF(Inputs!$J$126&gt;0,S71*Inputs!$M$81/Inputs!$M$80*Inputs!$M$75*Inputs!$J$126,S77*Inputs!$M$75*S90*Inputs!$J$123)*$I$13</f>
        <v>330483.00568476412</v>
      </c>
      <c r="T103" s="138">
        <f>IF(Inputs!$J$126&gt;0,T71*Inputs!$M$81/Inputs!$M$80*Inputs!$M$75*Inputs!$J$126,T77*Inputs!$M$75*T90*Inputs!$J$123)*$I$13</f>
        <v>340111.58678856946</v>
      </c>
      <c r="U103" s="138">
        <f>IF(Inputs!$J$126&gt;0,U71*Inputs!$M$81/Inputs!$M$80*Inputs!$M$75*Inputs!$J$126,U77*Inputs!$M$75*U90*Inputs!$J$123)*$I$13</f>
        <v>349314.40729324496</v>
      </c>
      <c r="V103" s="138">
        <f>IF(Inputs!$J$126&gt;0,V71*Inputs!$M$81/Inputs!$M$80*Inputs!$M$75*Inputs!$J$126,V77*Inputs!$M$75*V90*Inputs!$J$123)*$I$13</f>
        <v>349314.40729324496</v>
      </c>
      <c r="W103" s="138">
        <f>IF(Inputs!$J$126&gt;0,W71*Inputs!$M$81/Inputs!$M$80*Inputs!$M$75*Inputs!$J$126,W77*Inputs!$M$75*W90*Inputs!$J$123)*$I$13</f>
        <v>349314.40729324496</v>
      </c>
      <c r="X103" s="138">
        <f>IF(Inputs!$J$126&gt;0,X71*Inputs!$M$81/Inputs!$M$80*Inputs!$M$75*Inputs!$J$126,X77*Inputs!$M$75*X90*Inputs!$J$123)*$I$13</f>
        <v>349314.40729324496</v>
      </c>
      <c r="Y103" s="138">
        <f>IF(Inputs!$J$126&gt;0,Y71*Inputs!$M$81/Inputs!$M$80*Inputs!$M$75*Inputs!$J$126,Y77*Inputs!$M$75*Y90*Inputs!$J$123)*$I$13</f>
        <v>349314.40729324496</v>
      </c>
      <c r="Z103" s="138">
        <f>IF(Inputs!$J$126&gt;0,Z71*Inputs!$M$81/Inputs!$M$80*Inputs!$M$75*Inputs!$J$126,Z77*Inputs!$M$75*Z90*Inputs!$J$123)*$I$13</f>
        <v>349314.40729324496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17421817.702653099</v>
      </c>
      <c r="P105" s="70">
        <f>P78*Inputs!$M$75*IF(Inputs!$M$126&gt;0,Inputs!$M$126,P93*Inputs!$J$123)*$I$13</f>
        <v>17539092.583420649</v>
      </c>
      <c r="Q105" s="70">
        <f>Q78*Inputs!$M$75*IF(Inputs!$M$126&gt;0,Inputs!$M$126,Q93*Inputs!$J$123)*$I$13</f>
        <v>17382231.245010056</v>
      </c>
      <c r="R105" s="70">
        <f>R78*Inputs!$M$75*IF(Inputs!$M$126&gt;0,Inputs!$M$126,R93*Inputs!$J$123)*$I$13</f>
        <v>17898463.394211497</v>
      </c>
      <c r="S105" s="70">
        <f>S78*Inputs!$M$75*IF(Inputs!$M$126&gt;0,Inputs!$M$126,S93*Inputs!$J$123)*$I$13</f>
        <v>18158868.060894713</v>
      </c>
      <c r="T105" s="70">
        <f>T78*Inputs!$M$75*IF(Inputs!$M$126&gt;0,Inputs!$M$126,T93*Inputs!$J$123)*$I$13</f>
        <v>19314297.793351348</v>
      </c>
      <c r="U105" s="70">
        <f>U78*Inputs!$M$75*IF(Inputs!$M$126&gt;0,Inputs!$M$126,U93*Inputs!$J$123)*$I$13</f>
        <v>20418636.253912408</v>
      </c>
      <c r="V105" s="70">
        <f>V78*Inputs!$M$75*IF(Inputs!$M$126&gt;0,Inputs!$M$126,V93*Inputs!$J$123)*$I$13</f>
        <v>20418636.253912408</v>
      </c>
      <c r="W105" s="70">
        <f>W78*Inputs!$M$75*IF(Inputs!$M$126&gt;0,Inputs!$M$126,W93*Inputs!$J$123)*$I$13</f>
        <v>20418636.253912408</v>
      </c>
      <c r="X105" s="70">
        <f>X78*Inputs!$M$75*IF(Inputs!$M$126&gt;0,Inputs!$M$126,X93*Inputs!$J$123)*$I$13</f>
        <v>20418636.253912408</v>
      </c>
      <c r="Y105" s="70">
        <f>Y78*Inputs!$M$75*IF(Inputs!$M$126&gt;0,Inputs!$M$126,Y93*Inputs!$J$123)*$I$13</f>
        <v>20418636.253912408</v>
      </c>
      <c r="Z105" s="70">
        <f>Z78*Inputs!$M$75*IF(Inputs!$M$126&gt;0,Inputs!$M$126,Z93*Inputs!$J$123)*$I$13</f>
        <v>20418636.253912408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17421817.702653099</v>
      </c>
      <c r="P106" s="70">
        <f>P79*Inputs!$M$75*IF(Inputs!$M$126&gt;0,Inputs!$M$126,P96*Inputs!$J$123)*$I$13</f>
        <v>17539092.583420649</v>
      </c>
      <c r="Q106" s="70">
        <f>Q79*Inputs!$M$75*IF(Inputs!$M$126&gt;0,Inputs!$M$126,Q96*Inputs!$J$123)*$I$13</f>
        <v>17382231.245010056</v>
      </c>
      <c r="R106" s="70">
        <f>R79*Inputs!$M$75*IF(Inputs!$M$126&gt;0,Inputs!$M$126,R96*Inputs!$J$123)*$I$13</f>
        <v>17898463.394211497</v>
      </c>
      <c r="S106" s="70">
        <f>S79*Inputs!$M$75*IF(Inputs!$M$126&gt;0,Inputs!$M$126,S96*Inputs!$J$123)*$I$13</f>
        <v>18158868.060894713</v>
      </c>
      <c r="T106" s="70">
        <f>T79*Inputs!$M$75*IF(Inputs!$M$126&gt;0,Inputs!$M$126,T96*Inputs!$J$123)*$I$13</f>
        <v>19314297.793351348</v>
      </c>
      <c r="U106" s="70">
        <f>U79*Inputs!$M$75*IF(Inputs!$M$126&gt;0,Inputs!$M$126,U96*Inputs!$J$123)*$I$13</f>
        <v>20418636.253912408</v>
      </c>
      <c r="V106" s="70">
        <f>V79*Inputs!$M$75*IF(Inputs!$M$126&gt;0,Inputs!$M$126,V96*Inputs!$J$123)*$I$13</f>
        <v>20418636.253912408</v>
      </c>
      <c r="W106" s="70">
        <f>W79*Inputs!$M$75*IF(Inputs!$M$126&gt;0,Inputs!$M$126,W96*Inputs!$J$123)*$I$13</f>
        <v>20418636.253912408</v>
      </c>
      <c r="X106" s="70">
        <f>X79*Inputs!$M$75*IF(Inputs!$M$126&gt;0,Inputs!$M$126,X96*Inputs!$J$123)*$I$13</f>
        <v>20418636.253912408</v>
      </c>
      <c r="Y106" s="70">
        <f>Y79*Inputs!$M$75*IF(Inputs!$M$126&gt;0,Inputs!$M$126,Y96*Inputs!$J$123)*$I$13</f>
        <v>20418636.253912408</v>
      </c>
      <c r="Z106" s="70">
        <f>Z79*Inputs!$M$75*IF(Inputs!$M$126&gt;0,Inputs!$M$126,Z96*Inputs!$J$123)*$I$13</f>
        <v>20418636.253912408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17421817.702653099</v>
      </c>
      <c r="P107" s="70">
        <f>P80*Inputs!$M$75*IF(Inputs!$M$126&gt;0,Inputs!$M$126,P99*Inputs!$J$123)*$I$13</f>
        <v>17539092.583420649</v>
      </c>
      <c r="Q107" s="70">
        <f>Q80*Inputs!$M$75*IF(Inputs!$M$126&gt;0,Inputs!$M$126,Q99*Inputs!$J$123)*$I$13</f>
        <v>17382231.245010056</v>
      </c>
      <c r="R107" s="70">
        <f>R80*Inputs!$M$75*IF(Inputs!$M$126&gt;0,Inputs!$M$126,R99*Inputs!$J$123)*$I$13</f>
        <v>17898463.394211497</v>
      </c>
      <c r="S107" s="70">
        <f>S80*Inputs!$M$75*IF(Inputs!$M$126&gt;0,Inputs!$M$126,S99*Inputs!$J$123)*$I$13</f>
        <v>18158868.060894713</v>
      </c>
      <c r="T107" s="70">
        <f>T80*Inputs!$M$75*IF(Inputs!$M$126&gt;0,Inputs!$M$126,T99*Inputs!$J$123)*$I$13</f>
        <v>19314297.793351348</v>
      </c>
      <c r="U107" s="70">
        <f>U80*Inputs!$M$75*IF(Inputs!$M$126&gt;0,Inputs!$M$126,U99*Inputs!$J$123)*$I$13</f>
        <v>20418636.253912408</v>
      </c>
      <c r="V107" s="70">
        <f>V80*Inputs!$M$75*IF(Inputs!$M$126&gt;0,Inputs!$M$126,V99*Inputs!$J$123)*$I$13</f>
        <v>20418636.253912408</v>
      </c>
      <c r="W107" s="70">
        <f>W80*Inputs!$M$75*IF(Inputs!$M$126&gt;0,Inputs!$M$126,W99*Inputs!$J$123)*$I$13</f>
        <v>20418636.253912408</v>
      </c>
      <c r="X107" s="70">
        <f>X80*Inputs!$M$75*IF(Inputs!$M$126&gt;0,Inputs!$M$126,X99*Inputs!$J$123)*$I$13</f>
        <v>20418636.253912408</v>
      </c>
      <c r="Y107" s="70">
        <f>Y80*Inputs!$M$75*IF(Inputs!$M$126&gt;0,Inputs!$M$126,Y99*Inputs!$J$123)*$I$13</f>
        <v>20418636.253912408</v>
      </c>
      <c r="Z107" s="70">
        <f>Z80*Inputs!$M$75*IF(Inputs!$M$126&gt;0,Inputs!$M$126,Z99*Inputs!$J$123)*$I$13</f>
        <v>20418636.253912408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169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170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4.4720778732677886E-2</v>
      </c>
      <c r="P114" s="56">
        <f>Inputs!P64*$I$9</f>
        <v>4.7971765400098135E-2</v>
      </c>
      <c r="Q114" s="56">
        <f>Inputs!Q64*$I$9</f>
        <v>5.1488467686128192E-2</v>
      </c>
      <c r="R114" s="56">
        <f>Inputs!R64*$I$9</f>
        <v>5.5293763623082165E-2</v>
      </c>
      <c r="S114" s="56">
        <f>Inputs!S64*$I$9</f>
        <v>5.9412563487590955E-2</v>
      </c>
      <c r="T114" s="56">
        <f>Inputs!T64*$I$9</f>
        <v>6.3871993899775228E-2</v>
      </c>
      <c r="U114" s="56">
        <f>Inputs!U64*$I$9</f>
        <v>6.8701598813693213E-2</v>
      </c>
      <c r="V114" s="56">
        <f>Inputs!V64*$I$9</f>
        <v>7.3933558961954568E-2</v>
      </c>
      <c r="W114" s="56">
        <f>Inputs!W64*$I$9</f>
        <v>7.9602931462809806E-2</v>
      </c>
      <c r="X114" s="56">
        <f>Inputs!X64*$I$9</f>
        <v>8.5747911457026288E-2</v>
      </c>
      <c r="Y114" s="56">
        <f>Inputs!Y64*$I$9</f>
        <v>9.2410117815713247E-2</v>
      </c>
      <c r="Z114" s="56">
        <f>Inputs!Z64*$I$9</f>
        <v>9.958994603610552E-2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4.9689754147419878E-3</v>
      </c>
      <c r="P115" s="56">
        <f>Inputs!P65*$I$9</f>
        <v>5.3301961555664596E-3</v>
      </c>
      <c r="Q115" s="56">
        <f>Inputs!Q65*$I$9</f>
        <v>5.7209408540142446E-3</v>
      </c>
      <c r="R115" s="56">
        <f>Inputs!R65*$I$9</f>
        <v>6.1437515136757975E-3</v>
      </c>
      <c r="S115" s="56">
        <f>Inputs!S65*$I$9</f>
        <v>6.6013959430656624E-3</v>
      </c>
      <c r="T115" s="56">
        <f>Inputs!T65*$I$9</f>
        <v>7.0968882110861364E-3</v>
      </c>
      <c r="U115" s="56">
        <f>Inputs!U65*$I$9</f>
        <v>7.6335109792992481E-3</v>
      </c>
      <c r="V115" s="56">
        <f>Inputs!V65*$I$9</f>
        <v>8.2148398846616181E-3</v>
      </c>
      <c r="W115" s="56">
        <f>Inputs!W65*$I$9</f>
        <v>8.8447701625344252E-3</v>
      </c>
      <c r="X115" s="56">
        <f>Inputs!X65*$I$9</f>
        <v>9.5275457174473673E-3</v>
      </c>
      <c r="Y115" s="56">
        <f>Inputs!Y65*$I$9</f>
        <v>1.0267790868412584E-2</v>
      </c>
      <c r="Z115" s="56">
        <f>Inputs!Z65*$I$9</f>
        <v>1.1065549559567282E-2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171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14504.778488923965</v>
      </c>
      <c r="P119" s="70">
        <f t="shared" ref="P119:Z119" si="17">P103*P114*$T$37</f>
        <v>15606.088852377807</v>
      </c>
      <c r="Q119" s="70">
        <f t="shared" si="17"/>
        <v>16682.831562360043</v>
      </c>
      <c r="R119" s="70">
        <f t="shared" si="17"/>
        <v>18153.659580396325</v>
      </c>
      <c r="S119" s="70">
        <f t="shared" si="17"/>
        <v>19634.842556815933</v>
      </c>
      <c r="T119" s="70">
        <f t="shared" si="17"/>
        <v>21723.605196602381</v>
      </c>
      <c r="U119" s="70">
        <f t="shared" si="17"/>
        <v>23998.458269703548</v>
      </c>
      <c r="V119" s="70">
        <f t="shared" si="17"/>
        <v>25826.05732787534</v>
      </c>
      <c r="W119" s="70">
        <f t="shared" si="17"/>
        <v>27806.450822736209</v>
      </c>
      <c r="X119" s="70">
        <f t="shared" si="17"/>
        <v>29952.980867244787</v>
      </c>
      <c r="Y119" s="70">
        <f t="shared" si="17"/>
        <v>32280.18553269481</v>
      </c>
      <c r="Z119" s="70">
        <f t="shared" si="17"/>
        <v>34788.202971968451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O105*O115*$T$27+IF(Inputs!$K$126=0,O103*O115*$T$27,0)</f>
        <v>88180.225898924866</v>
      </c>
      <c r="P120" s="138">
        <f>P105*P115*$T$27+IF(Inputs!$K$126=0,P103*P115*$T$27,0)</f>
        <v>95220.813732759372</v>
      </c>
      <c r="Q120" s="138">
        <f>Q105*Q115*$T$27+IF(Inputs!$K$126=0,Q103*Q115*$T$27,0)</f>
        <v>101296.36481487425</v>
      </c>
      <c r="R120" s="138">
        <f>R105*R115*$T$27+IF(Inputs!$K$126=0,R103*R115*$T$27,0)</f>
        <v>111980.78485736843</v>
      </c>
      <c r="S120" s="138">
        <f>S105*S115*$T$27+IF(Inputs!$K$126=0,S103*S115*$T$27,0)</f>
        <v>122055.52712083454</v>
      </c>
      <c r="T120" s="138">
        <f>T105*T115*$T$27+IF(Inputs!$K$126=0,T103*T115*$T$27,0)</f>
        <v>139485.14622577577</v>
      </c>
      <c r="U120" s="138">
        <f>U105*U115*$T$27+IF(Inputs!$K$126=0,U103*U115*$T$27,0)</f>
        <v>158532.37938985843</v>
      </c>
      <c r="V120" s="138">
        <f>V105*V115*$T$27+IF(Inputs!$K$126=0,V103*V115*$T$27,0)</f>
        <v>170605.38941435682</v>
      </c>
      <c r="W120" s="138">
        <f>W105*W115*$T$27+IF(Inputs!$K$126=0,W103*W115*$T$27,0)</f>
        <v>183687.75034521884</v>
      </c>
      <c r="X120" s="138">
        <f>X105*X115*$T$27+IF(Inputs!$K$126=0,X103*X115*$T$27,0)</f>
        <v>197867.59938232813</v>
      </c>
      <c r="Y120" s="138">
        <f>Y105*Y115*$T$27+IF(Inputs!$K$126=0,Y103*Y115*$T$27,0)</f>
        <v>213240.97415477049</v>
      </c>
      <c r="Z120" s="138">
        <f>Z105*Z115*$T$27+IF(Inputs!$K$126=0,Z103*Z115*$T$27,0)</f>
        <v>229808.78729221926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0">P107*P116*$T$17</f>
        <v>0</v>
      </c>
      <c r="Q121" s="70">
        <f t="shared" si="20"/>
        <v>0</v>
      </c>
      <c r="R121" s="70">
        <f t="shared" si="20"/>
        <v>0</v>
      </c>
      <c r="S121" s="70">
        <f t="shared" si="20"/>
        <v>0</v>
      </c>
      <c r="T121" s="70">
        <f t="shared" si="20"/>
        <v>0</v>
      </c>
      <c r="U121" s="70">
        <f t="shared" si="20"/>
        <v>0</v>
      </c>
      <c r="V121" s="70">
        <f t="shared" si="20"/>
        <v>0</v>
      </c>
      <c r="W121" s="70">
        <f t="shared" si="20"/>
        <v>0</v>
      </c>
      <c r="X121" s="70">
        <f t="shared" si="20"/>
        <v>0</v>
      </c>
      <c r="Y121" s="70">
        <f t="shared" si="20"/>
        <v>0</v>
      </c>
      <c r="Z121" s="70">
        <f t="shared" si="20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189</v>
      </c>
      <c r="E122" s="51"/>
      <c r="F122" s="51"/>
      <c r="G122" s="51"/>
      <c r="H122" s="51"/>
      <c r="I122" s="51"/>
      <c r="J122" s="139" t="str">
        <f>J119</f>
        <v>Significant</v>
      </c>
      <c r="K122" s="51"/>
      <c r="L122" s="51"/>
      <c r="M122" s="51"/>
      <c r="N122" s="51"/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0</v>
      </c>
      <c r="Z122" s="117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172</v>
      </c>
      <c r="E124" s="51"/>
      <c r="F124" s="51"/>
      <c r="G124" s="51"/>
      <c r="H124" s="51"/>
      <c r="I124" s="51"/>
      <c r="J124" s="139" t="str">
        <f>J119</f>
        <v>Significant</v>
      </c>
      <c r="K124" s="51"/>
      <c r="L124" s="51"/>
      <c r="M124" s="51"/>
      <c r="N124" s="51"/>
      <c r="O124" s="88">
        <f t="shared" ref="O124:Z124" si="21">SUMIF($J$49:$J$51,$J124,$V$49:$V$51)*O114</f>
        <v>5642.5443173381609</v>
      </c>
      <c r="P124" s="88">
        <f t="shared" si="21"/>
        <v>6052.7302949940067</v>
      </c>
      <c r="Q124" s="88">
        <f t="shared" si="21"/>
        <v>6496.442347022954</v>
      </c>
      <c r="R124" s="88">
        <f t="shared" si="21"/>
        <v>6976.5670580258102</v>
      </c>
      <c r="S124" s="88">
        <f t="shared" si="21"/>
        <v>7496.2474264885177</v>
      </c>
      <c r="T124" s="88">
        <f t="shared" si="21"/>
        <v>8058.9060930838932</v>
      </c>
      <c r="U124" s="88">
        <f t="shared" si="21"/>
        <v>8668.2707001922136</v>
      </c>
      <c r="V124" s="88">
        <f t="shared" si="21"/>
        <v>9328.4015798349719</v>
      </c>
      <c r="W124" s="88">
        <f t="shared" si="21"/>
        <v>10043.721985563927</v>
      </c>
      <c r="X124" s="88">
        <f t="shared" si="21"/>
        <v>10819.051103909238</v>
      </c>
      <c r="Y124" s="88">
        <f t="shared" si="21"/>
        <v>11659.640102925809</v>
      </c>
      <c r="Z124" s="88">
        <f t="shared" si="21"/>
        <v>12565.538883593412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173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129938.06376580711</v>
      </c>
      <c r="P125" s="70">
        <f t="shared" si="22"/>
        <v>139383.93937137589</v>
      </c>
      <c r="Q125" s="70">
        <f t="shared" si="22"/>
        <v>149601.8626463486</v>
      </c>
      <c r="R125" s="70">
        <f t="shared" si="22"/>
        <v>160658.30665550425</v>
      </c>
      <c r="S125" s="70">
        <f t="shared" si="22"/>
        <v>172625.64923315201</v>
      </c>
      <c r="T125" s="70">
        <f t="shared" si="22"/>
        <v>185582.70789085756</v>
      </c>
      <c r="U125" s="70">
        <f t="shared" si="22"/>
        <v>199615.32380346413</v>
      </c>
      <c r="V125" s="70">
        <f t="shared" si="22"/>
        <v>214816.99941445218</v>
      </c>
      <c r="W125" s="70">
        <f t="shared" si="22"/>
        <v>231289.59462420319</v>
      </c>
      <c r="X125" s="70">
        <f t="shared" si="22"/>
        <v>249144.08698671346</v>
      </c>
      <c r="Y125" s="70">
        <f t="shared" si="22"/>
        <v>268501.40184544318</v>
      </c>
      <c r="Z125" s="70">
        <f t="shared" si="22"/>
        <v>289362.68833389092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174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175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51750.214513274346</v>
      </c>
      <c r="P127" s="70">
        <f>Inputs!$J$27*$I$11</f>
        <v>51750.214513274346</v>
      </c>
      <c r="Q127" s="70">
        <f>Inputs!$J$27*$I$11</f>
        <v>51750.214513274346</v>
      </c>
      <c r="R127" s="70">
        <f>Inputs!$J$27*$I$11</f>
        <v>51750.214513274346</v>
      </c>
      <c r="S127" s="70">
        <f>Inputs!$J$27*$I$11</f>
        <v>51750.214513274346</v>
      </c>
      <c r="T127" s="70">
        <f>Inputs!$J$27*$I$11</f>
        <v>51750.214513274346</v>
      </c>
      <c r="U127" s="70">
        <f>Inputs!$J$27*$I$11</f>
        <v>51750.214513274346</v>
      </c>
      <c r="V127" s="70">
        <f>Inputs!$J$27*$I$11</f>
        <v>51750.214513274346</v>
      </c>
      <c r="W127" s="70">
        <f>Inputs!$J$27*$I$11</f>
        <v>51750.214513274346</v>
      </c>
      <c r="X127" s="70">
        <f>Inputs!$J$27*$I$11</f>
        <v>51750.214513274346</v>
      </c>
      <c r="Y127" s="70">
        <f>Inputs!$J$27*$I$11</f>
        <v>51750.214513274346</v>
      </c>
      <c r="Z127" s="70">
        <f>Inputs!$J$27*$I$11</f>
        <v>51750.214513274346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163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290015.8269842685</v>
      </c>
      <c r="P128" s="98">
        <f t="shared" ref="P128:Z128" si="24">SUM(P119:P127)</f>
        <v>308013.78676478146</v>
      </c>
      <c r="Q128" s="98">
        <f t="shared" si="24"/>
        <v>325827.71588388016</v>
      </c>
      <c r="R128" s="98">
        <f t="shared" si="24"/>
        <v>349519.53266456921</v>
      </c>
      <c r="S128" s="98">
        <f t="shared" si="24"/>
        <v>373562.48085056536</v>
      </c>
      <c r="T128" s="98">
        <f t="shared" si="24"/>
        <v>406600.57991959399</v>
      </c>
      <c r="U128" s="98">
        <f t="shared" si="24"/>
        <v>442564.64667649264</v>
      </c>
      <c r="V128" s="98">
        <f t="shared" si="24"/>
        <v>472327.06224979367</v>
      </c>
      <c r="W128" s="98">
        <f t="shared" si="24"/>
        <v>504577.73229099659</v>
      </c>
      <c r="X128" s="98">
        <f t="shared" si="24"/>
        <v>539533.93285346997</v>
      </c>
      <c r="Y128" s="98">
        <f t="shared" si="24"/>
        <v>577432.41614910867</v>
      </c>
      <c r="Z128" s="98">
        <f t="shared" si="24"/>
        <v>618275.43199494644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176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177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178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A'!$I$10</f>
        <v>0</v>
      </c>
      <c r="P135" s="70">
        <f>Inputs!P22*'Scenario A'!$I$10</f>
        <v>0</v>
      </c>
      <c r="Q135" s="70">
        <f>Inputs!Q22*'Scenario A'!$I$10</f>
        <v>85490.442477876117</v>
      </c>
      <c r="R135" s="70">
        <f>Inputs!R22*'Scenario A'!$I$10</f>
        <v>2506693.7607079647</v>
      </c>
      <c r="S135" s="70">
        <f>Inputs!S22*'Scenario A'!$I$10</f>
        <v>6691867.13557762</v>
      </c>
      <c r="T135" s="70">
        <f>Inputs!T22*'Scenario A'!$I$10</f>
        <v>0</v>
      </c>
      <c r="U135" s="70">
        <f>Inputs!U22*'Scenario A'!$I$10</f>
        <v>0</v>
      </c>
      <c r="V135" s="70">
        <f>Inputs!V22*'Scenario A'!$I$10</f>
        <v>0</v>
      </c>
      <c r="W135" s="70">
        <f>Inputs!W22*'Scenario A'!$I$10</f>
        <v>0</v>
      </c>
      <c r="X135" s="70">
        <f>Inputs!X22*'Scenario A'!$I$10</f>
        <v>0</v>
      </c>
      <c r="Y135" s="70">
        <f>Inputs!Y22*'Scenario A'!$I$10</f>
        <v>0</v>
      </c>
      <c r="Z135" s="70">
        <f>Inputs!Z22*'Scenario A'!$I$10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179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1</v>
      </c>
      <c r="R136" s="70">
        <f t="shared" si="25"/>
        <v>1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180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1.0557562500000002</v>
      </c>
      <c r="R137" s="56">
        <f>(R136=1)*(1+Inputs!$J$11)^(SUM(R136:$Z136)-1)</f>
        <v>1.0275000000000001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181</v>
      </c>
      <c r="E138" s="51"/>
      <c r="F138" s="51"/>
      <c r="G138" s="51"/>
      <c r="H138" s="51"/>
      <c r="I138" s="51"/>
      <c r="J138" s="70">
        <f>PMT(Inputs!$J$11,Inputs!$J$12,-SUMPRODUCT('Scenario A'!O135:Z135,'Scenario A'!O137:Z137),0,0)</f>
        <v>346619.74016337795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182</v>
      </c>
      <c r="E139" s="51"/>
      <c r="F139" s="51"/>
      <c r="G139" s="51"/>
      <c r="H139" s="51"/>
      <c r="I139" s="51"/>
      <c r="J139" s="70">
        <f>Inputs!K27*$I$11</f>
        <v>22911.438584070802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183</v>
      </c>
      <c r="E140" s="51"/>
      <c r="F140" s="51"/>
      <c r="G140" s="51"/>
      <c r="H140" s="51"/>
      <c r="I140" s="51"/>
      <c r="J140" s="70">
        <f>SUM(J138:J139)</f>
        <v>369531.17874744878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184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185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186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290015.8269842685</v>
      </c>
      <c r="P147" s="70">
        <f t="shared" ref="P147:Z147" si="27">P128</f>
        <v>308013.78676478146</v>
      </c>
      <c r="Q147" s="70">
        <f t="shared" si="27"/>
        <v>325827.71588388016</v>
      </c>
      <c r="R147" s="70">
        <f t="shared" si="27"/>
        <v>349519.53266456921</v>
      </c>
      <c r="S147" s="70">
        <f t="shared" si="27"/>
        <v>373562.48085056536</v>
      </c>
      <c r="T147" s="70">
        <f t="shared" si="27"/>
        <v>406600.57991959399</v>
      </c>
      <c r="U147" s="70">
        <f t="shared" si="27"/>
        <v>442564.64667649264</v>
      </c>
      <c r="V147" s="70">
        <f t="shared" si="27"/>
        <v>472327.06224979367</v>
      </c>
      <c r="W147" s="70">
        <f t="shared" si="27"/>
        <v>504577.73229099659</v>
      </c>
      <c r="X147" s="70">
        <f t="shared" si="27"/>
        <v>539533.93285346997</v>
      </c>
      <c r="Y147" s="70">
        <f t="shared" si="27"/>
        <v>577432.41614910867</v>
      </c>
      <c r="Z147" s="70">
        <f t="shared" si="27"/>
        <v>618275.43199494644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176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369531.17874744878</v>
      </c>
      <c r="P148" s="70">
        <f t="shared" ref="P148:Z148" si="28">$J$140</f>
        <v>369531.17874744878</v>
      </c>
      <c r="Q148" s="70">
        <f t="shared" si="28"/>
        <v>369531.17874744878</v>
      </c>
      <c r="R148" s="70">
        <f t="shared" si="28"/>
        <v>369531.17874744878</v>
      </c>
      <c r="S148" s="70">
        <f t="shared" si="28"/>
        <v>369531.17874744878</v>
      </c>
      <c r="T148" s="70">
        <f t="shared" si="28"/>
        <v>369531.17874744878</v>
      </c>
      <c r="U148" s="70">
        <f t="shared" si="28"/>
        <v>369531.17874744878</v>
      </c>
      <c r="V148" s="70">
        <f t="shared" si="28"/>
        <v>369531.17874744878</v>
      </c>
      <c r="W148" s="70">
        <f t="shared" si="28"/>
        <v>369531.17874744878</v>
      </c>
      <c r="X148" s="70">
        <f t="shared" si="28"/>
        <v>369531.17874744878</v>
      </c>
      <c r="Y148" s="70">
        <f t="shared" si="28"/>
        <v>369531.17874744878</v>
      </c>
      <c r="Z148" s="70">
        <f t="shared" si="28"/>
        <v>369531.17874744878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187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29">(P147&gt;=P148)</f>
        <v>0</v>
      </c>
      <c r="Q149" s="99" t="b">
        <f t="shared" si="29"/>
        <v>0</v>
      </c>
      <c r="R149" s="99" t="b">
        <f t="shared" si="29"/>
        <v>0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147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.125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B Switchboard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B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B: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148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149</v>
      </c>
      <c r="D8" s="51"/>
      <c r="E8" s="51"/>
      <c r="F8" s="51"/>
      <c r="G8" s="51"/>
      <c r="H8" s="51"/>
      <c r="I8" s="55" t="s">
        <v>30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B'!$I$8,Inputs!$D$52:$D$57,0),MATCH('Scenario B'!$D9,Inputs!$D$52:$O$52,0))</f>
        <v>0.9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B'!$I$8,Inputs!$D$52:$D$57,0),MATCH('Scenario B'!$D10,Inputs!$D$52:$O$52,0))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B'!$I$8,Inputs!$D$52:$D$57,0),MATCH('Scenario B'!$D11,Inputs!$D$52:$O$52,0))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B'!$I$8,Inputs!$D$52:$D$57,0),MATCH('Scenario B'!$D12,Inputs!$D$52:$O$52,0))</f>
        <v>0.95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B'!$I$8,Inputs!$D$52:$D$57,0),MATCH('Scenario B'!$D13,Inputs!$D$52:$O$52,0))</f>
        <v>0.9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B'!$I$8,Inputs!$D$52:$D$57,0),MATCH('Scenario B'!$D14,Inputs!$D$52:$O$52,0))</f>
        <v>0.9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69</v>
      </c>
      <c r="J16" s="58" t="s">
        <v>150</v>
      </c>
      <c r="K16" s="58" t="s">
        <v>151</v>
      </c>
      <c r="L16" s="58"/>
      <c r="M16" s="58"/>
      <c r="N16" s="59"/>
      <c r="O16" s="57" t="s">
        <v>152</v>
      </c>
      <c r="P16" s="58" t="s">
        <v>153</v>
      </c>
      <c r="Q16" s="58" t="s">
        <v>154</v>
      </c>
      <c r="R16" s="58" t="s">
        <v>155</v>
      </c>
      <c r="S16" s="58" t="s">
        <v>25</v>
      </c>
      <c r="T16" s="60" t="s">
        <v>156</v>
      </c>
      <c r="U16" s="57" t="s">
        <v>157</v>
      </c>
      <c r="V16" s="61" t="s">
        <v>158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B'!J17,Inputs!$D$64:$D$66,0))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B'!J18,Inputs!$D$64:$D$66,0))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B'!J19,Inputs!$D$64:$D$66,0))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B'!J20,Inputs!$D$64:$D$66,0))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B'!J21,Inputs!$D$64:$D$66,0))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B'!J22,Inputs!$D$64:$D$66,0))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B'!J23,Inputs!$D$64:$D$66,0))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B'!J24,Inputs!$D$64:$D$66,0))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B'!J25,Inputs!$D$64:$D$66,0))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B'!J26,Inputs!$D$64:$D$66,0))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B'!J27,Inputs!$D$64:$D$66,0))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17421817.702653099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17421817.702653099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B'!J28,Inputs!$D$64:$D$66,0))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32586.166129224315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32586.166129224315</v>
      </c>
      <c r="V28" s="75">
        <f t="shared" si="1"/>
        <v>32586.166129224315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B'!J29,Inputs!$D$64:$D$66,0))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13655812.975109365</v>
      </c>
      <c r="R29" s="71">
        <v>0</v>
      </c>
      <c r="S29" s="72">
        <v>0</v>
      </c>
      <c r="T29" s="73">
        <f>'Base Case'!$T29</f>
        <v>1</v>
      </c>
      <c r="U29" s="74">
        <f t="shared" si="0"/>
        <v>13655812.975109365</v>
      </c>
      <c r="V29" s="75">
        <f t="shared" si="1"/>
        <v>13655812.975109365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B'!J30,Inputs!$D$64:$D$66,0))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7596042.0044428306</v>
      </c>
      <c r="S30" s="72">
        <v>0</v>
      </c>
      <c r="T30" s="73">
        <f>'Base Case'!$T30</f>
        <v>1</v>
      </c>
      <c r="U30" s="74">
        <f t="shared" si="0"/>
        <v>7596042.0044428306</v>
      </c>
      <c r="V30" s="75">
        <f t="shared" si="1"/>
        <v>7596042.0044428306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B'!J31,Inputs!$D$64:$D$66,0))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Inputs!$K$105*$I$14</f>
        <v>85801.316814159305</v>
      </c>
      <c r="T31" s="73">
        <f>'Base Case'!$T31</f>
        <v>1</v>
      </c>
      <c r="U31" s="74">
        <f t="shared" si="0"/>
        <v>85801.316814159305</v>
      </c>
      <c r="V31" s="75">
        <f t="shared" si="1"/>
        <v>85801.316814159305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B'!J32,Inputs!$D$64:$D$66,0))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B'!J33,Inputs!$D$64:$D$66,0))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B'!J34,Inputs!$D$64:$D$66,0))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f>Inputs!$L$161*$I$11</f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B'!J35,Inputs!$D$64:$D$66,0))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B'!J36,Inputs!$D$64:$D$66,0))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B'!J37,Inputs!$D$64:$D$66,0))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324340.91936608404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324340.91936608404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B'!J38,Inputs!$D$64:$D$66,0))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6517.2332258448641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6517.2332258448641</v>
      </c>
      <c r="V38" s="75">
        <f t="shared" si="1"/>
        <v>6517.2332258448641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B'!J39,Inputs!$D$64:$D$66,0))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B'!J40,Inputs!$D$64:$D$66,0))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42341.084601769915</v>
      </c>
      <c r="S40" s="72">
        <v>0</v>
      </c>
      <c r="T40" s="73">
        <f>'Base Case'!$T40</f>
        <v>1</v>
      </c>
      <c r="U40" s="74">
        <f t="shared" si="0"/>
        <v>42341.084601769915</v>
      </c>
      <c r="V40" s="75">
        <f t="shared" si="1"/>
        <v>42341.084601769915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B'!J41,Inputs!$D$64:$D$66,0))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Inputs!$J$105*$I$14</f>
        <v>10911.689203539825</v>
      </c>
      <c r="T41" s="73">
        <f>'Base Case'!$T41</f>
        <v>1</v>
      </c>
      <c r="U41" s="74">
        <f t="shared" si="0"/>
        <v>10911.689203539825</v>
      </c>
      <c r="V41" s="75">
        <f t="shared" si="1"/>
        <v>10911.689203539825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B'!J42,Inputs!$D$64:$D$66,0))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B'!J43,Inputs!$D$64:$D$66,0))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B'!J44,Inputs!$D$64:$D$66,0))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f>Inputs!$L$161*$I$11</f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B'!J45,Inputs!$D$64:$D$66,0))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B'!J46,Inputs!$D$64:$D$66,0))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B'!J49,Inputs!$D$64:$D$66,0))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324340.91936608404</v>
      </c>
      <c r="P49" s="70">
        <f t="shared" ref="P49:V49" si="2">SUMIF($I$17:$I$46,$I49,P$17:P$46)</f>
        <v>6517.2332258448641</v>
      </c>
      <c r="Q49" s="70">
        <f t="shared" si="2"/>
        <v>46631.150442477883</v>
      </c>
      <c r="R49" s="70">
        <f t="shared" si="2"/>
        <v>42341.084601769915</v>
      </c>
      <c r="S49" s="70">
        <f t="shared" si="2"/>
        <v>10911.689203539825</v>
      </c>
      <c r="T49" s="56">
        <f>U49/SUM(O49:S49)</f>
        <v>1</v>
      </c>
      <c r="U49" s="70">
        <f t="shared" si="2"/>
        <v>430742.07683971652</v>
      </c>
      <c r="V49" s="70">
        <f t="shared" si="2"/>
        <v>106401.15747363248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B'!J50,Inputs!$D$64:$D$66,0))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17421817.702653099</v>
      </c>
      <c r="P50" s="70">
        <f t="shared" si="3"/>
        <v>32586.166129224315</v>
      </c>
      <c r="Q50" s="70">
        <f t="shared" si="3"/>
        <v>13702444.125551842</v>
      </c>
      <c r="R50" s="70">
        <f t="shared" si="3"/>
        <v>7596042.0044428306</v>
      </c>
      <c r="S50" s="70">
        <f t="shared" si="3"/>
        <v>85801.316814159305</v>
      </c>
      <c r="T50" s="56">
        <f t="shared" ref="T50:T51" si="4">U50/SUM(O50:S50)</f>
        <v>1.0000000000000002</v>
      </c>
      <c r="U50" s="70">
        <f t="shared" si="3"/>
        <v>38838691.315591164</v>
      </c>
      <c r="V50" s="70">
        <f t="shared" si="3"/>
        <v>21416873.612938054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B'!J51,Inputs!$D$64:$D$66,0))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39269433.392430879</v>
      </c>
      <c r="V52" s="88">
        <f>SUM(V49:V51)</f>
        <v>21523274.770411685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B: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50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51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52</v>
      </c>
      <c r="D59" s="51"/>
      <c r="E59" s="51"/>
      <c r="F59" s="51"/>
      <c r="G59" s="51"/>
      <c r="H59" s="51"/>
      <c r="I59" s="51"/>
      <c r="J59" s="70">
        <f>Inputs!J80</f>
        <v>58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53</v>
      </c>
      <c r="E60" s="51"/>
      <c r="F60" s="51"/>
      <c r="G60" s="51"/>
      <c r="H60" s="51"/>
      <c r="I60" s="51"/>
      <c r="J60" s="70">
        <f>Inputs!J81</f>
        <v>29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54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55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56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57</v>
      </c>
      <c r="E64" s="87"/>
      <c r="F64" s="87"/>
      <c r="G64" s="87"/>
      <c r="H64" s="87"/>
      <c r="I64" s="87"/>
      <c r="J64" s="70">
        <f>Inputs!J85</f>
        <v>16.509999999999998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31.325299999999995</v>
      </c>
      <c r="P69" s="70">
        <f>Inputs!P185*$I$12</f>
        <v>31.645449999999997</v>
      </c>
      <c r="Q69" s="70">
        <f>Inputs!Q185*$I$12</f>
        <v>31.195150000000002</v>
      </c>
      <c r="R69" s="70">
        <f>Inputs!R185*$I$12</f>
        <v>31.585599999999996</v>
      </c>
      <c r="S69" s="70">
        <f>Inputs!S185*$I$12</f>
        <v>31.988399999999995</v>
      </c>
      <c r="T69" s="70">
        <f>Inputs!T185*$I$12</f>
        <v>32.729399999999998</v>
      </c>
      <c r="U69" s="70">
        <f>Inputs!U185*$I$12</f>
        <v>34.062249999999999</v>
      </c>
      <c r="V69" s="70">
        <f>Inputs!V185*$I$12</f>
        <v>34.062249999999999</v>
      </c>
      <c r="W69" s="70">
        <f>Inputs!W185*$I$12</f>
        <v>34.062249999999999</v>
      </c>
      <c r="X69" s="70">
        <f>Inputs!X185*$I$12</f>
        <v>34.062249999999999</v>
      </c>
      <c r="Y69" s="70">
        <f>Inputs!Y185*$I$12</f>
        <v>34.062249999999999</v>
      </c>
      <c r="Z69" s="70">
        <f>Inputs!Z185*$I$12</f>
        <v>34.062249999999999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29.273299999999999</v>
      </c>
      <c r="P70" s="70">
        <f>Inputs!P186*$I$12</f>
        <v>29.264749999999999</v>
      </c>
      <c r="Q70" s="70">
        <f>Inputs!Q186*$I$12</f>
        <v>29.28565</v>
      </c>
      <c r="R70" s="70">
        <f>Inputs!R186*$I$12</f>
        <v>29.684649999999998</v>
      </c>
      <c r="S70" s="70">
        <f>Inputs!S186*$I$12</f>
        <v>29.797699999999999</v>
      </c>
      <c r="T70" s="70">
        <f>Inputs!T186*$I$12</f>
        <v>30.747699999999998</v>
      </c>
      <c r="U70" s="70">
        <f>Inputs!U186*$I$12</f>
        <v>31.387999999999998</v>
      </c>
      <c r="V70" s="70">
        <f>Inputs!V186*$I$12</f>
        <v>31.387999999999998</v>
      </c>
      <c r="W70" s="70">
        <f>Inputs!W186*$I$12</f>
        <v>31.387999999999998</v>
      </c>
      <c r="X70" s="70">
        <f>Inputs!X186*$I$12</f>
        <v>31.387999999999998</v>
      </c>
      <c r="Y70" s="70">
        <f>Inputs!Y186*$I$12</f>
        <v>31.387999999999998</v>
      </c>
      <c r="Z70" s="70">
        <f>Inputs!Z186*$I$12</f>
        <v>31.387999999999998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29.888899999999996</v>
      </c>
      <c r="P71" s="70">
        <f>Inputs!P187*$I$12</f>
        <v>29.978959999999997</v>
      </c>
      <c r="Q71" s="70">
        <f>Inputs!Q187*$I$12</f>
        <v>29.858500000000003</v>
      </c>
      <c r="R71" s="70">
        <f>Inputs!R187*$I$12</f>
        <v>30.254934999999996</v>
      </c>
      <c r="S71" s="70">
        <f>Inputs!S187*$I$12</f>
        <v>30.454909999999998</v>
      </c>
      <c r="T71" s="70">
        <f>Inputs!T187*$I$12</f>
        <v>31.342209999999998</v>
      </c>
      <c r="U71" s="70">
        <f>Inputs!U187*$I$12</f>
        <v>32.190274999999993</v>
      </c>
      <c r="V71" s="70">
        <f>Inputs!V187*$I$12</f>
        <v>32.190274999999993</v>
      </c>
      <c r="W71" s="70">
        <f>Inputs!W187*$I$12</f>
        <v>32.190274999999993</v>
      </c>
      <c r="X71" s="70">
        <f>Inputs!X187*$I$12</f>
        <v>32.190274999999993</v>
      </c>
      <c r="Y71" s="70">
        <f>Inputs!Y187*$I$12</f>
        <v>32.190274999999993</v>
      </c>
      <c r="Z71" s="70">
        <f>Inputs!Z187*$I$12</f>
        <v>32.190274999999993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141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142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143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13.378899999999998</v>
      </c>
      <c r="P78" s="70">
        <f t="shared" si="5"/>
        <v>13.468959999999999</v>
      </c>
      <c r="Q78" s="70">
        <f t="shared" si="5"/>
        <v>13.348500000000005</v>
      </c>
      <c r="R78" s="70">
        <f t="shared" si="5"/>
        <v>13.744934999999998</v>
      </c>
      <c r="S78" s="70">
        <f t="shared" si="5"/>
        <v>13.94491</v>
      </c>
      <c r="T78" s="70">
        <f t="shared" si="5"/>
        <v>14.83221</v>
      </c>
      <c r="U78" s="70">
        <f t="shared" si="5"/>
        <v>15.680274999999995</v>
      </c>
      <c r="V78" s="70">
        <f t="shared" si="5"/>
        <v>15.680274999999995</v>
      </c>
      <c r="W78" s="70">
        <f t="shared" si="5"/>
        <v>15.680274999999995</v>
      </c>
      <c r="X78" s="70">
        <f t="shared" si="5"/>
        <v>15.680274999999995</v>
      </c>
      <c r="Y78" s="70">
        <f t="shared" si="5"/>
        <v>15.680274999999995</v>
      </c>
      <c r="Z78" s="70">
        <f t="shared" si="5"/>
        <v>15.680274999999995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144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13.378899999999998</v>
      </c>
      <c r="P79" s="70">
        <f t="shared" si="5"/>
        <v>13.468959999999999</v>
      </c>
      <c r="Q79" s="70">
        <f t="shared" si="5"/>
        <v>13.348500000000005</v>
      </c>
      <c r="R79" s="70">
        <f t="shared" si="5"/>
        <v>13.744934999999998</v>
      </c>
      <c r="S79" s="70">
        <f t="shared" si="5"/>
        <v>13.94491</v>
      </c>
      <c r="T79" s="70">
        <f t="shared" si="5"/>
        <v>14.83221</v>
      </c>
      <c r="U79" s="70">
        <f t="shared" si="5"/>
        <v>15.680274999999995</v>
      </c>
      <c r="V79" s="70">
        <f t="shared" si="5"/>
        <v>15.680274999999995</v>
      </c>
      <c r="W79" s="70">
        <f t="shared" si="5"/>
        <v>15.680274999999995</v>
      </c>
      <c r="X79" s="70">
        <f t="shared" si="5"/>
        <v>15.680274999999995</v>
      </c>
      <c r="Y79" s="70">
        <f t="shared" si="5"/>
        <v>15.680274999999995</v>
      </c>
      <c r="Z79" s="70">
        <f t="shared" si="5"/>
        <v>15.680274999999995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145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13.378899999999998</v>
      </c>
      <c r="P80" s="70">
        <f t="shared" si="5"/>
        <v>13.468959999999999</v>
      </c>
      <c r="Q80" s="70">
        <f t="shared" si="5"/>
        <v>13.348500000000005</v>
      </c>
      <c r="R80" s="70">
        <f t="shared" si="5"/>
        <v>13.744934999999998</v>
      </c>
      <c r="S80" s="70">
        <f t="shared" si="5"/>
        <v>13.94491</v>
      </c>
      <c r="T80" s="70">
        <f t="shared" si="5"/>
        <v>14.83221</v>
      </c>
      <c r="U80" s="70">
        <f t="shared" si="5"/>
        <v>15.680274999999995</v>
      </c>
      <c r="V80" s="70">
        <f t="shared" si="5"/>
        <v>15.680274999999995</v>
      </c>
      <c r="W80" s="70">
        <f t="shared" si="5"/>
        <v>15.680274999999995</v>
      </c>
      <c r="X80" s="70">
        <f t="shared" si="5"/>
        <v>15.680274999999995</v>
      </c>
      <c r="Y80" s="70">
        <f t="shared" si="5"/>
        <v>15.680274999999995</v>
      </c>
      <c r="Z80" s="70">
        <f t="shared" si="5"/>
        <v>15.680274999999995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164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165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166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167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165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0.5</v>
      </c>
      <c r="V95" s="70">
        <f t="shared" si="13"/>
        <v>0.5</v>
      </c>
      <c r="W95" s="70">
        <f t="shared" si="13"/>
        <v>0.5</v>
      </c>
      <c r="X95" s="70">
        <f t="shared" si="13"/>
        <v>0.5</v>
      </c>
      <c r="Y95" s="70">
        <f t="shared" si="13"/>
        <v>0.5</v>
      </c>
      <c r="Z95" s="70">
        <f t="shared" si="13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2.5</v>
      </c>
      <c r="V96" s="93">
        <f t="shared" si="14"/>
        <v>2.5</v>
      </c>
      <c r="W96" s="93">
        <f t="shared" si="14"/>
        <v>2.5</v>
      </c>
      <c r="X96" s="93">
        <f t="shared" si="14"/>
        <v>2.5</v>
      </c>
      <c r="Y96" s="93">
        <f t="shared" si="14"/>
        <v>2.5</v>
      </c>
      <c r="Z96" s="93">
        <f t="shared" si="14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0.5</v>
      </c>
      <c r="V98" s="70">
        <f t="shared" si="15"/>
        <v>0.5</v>
      </c>
      <c r="W98" s="70">
        <f t="shared" si="15"/>
        <v>0.5</v>
      </c>
      <c r="X98" s="70">
        <f t="shared" si="15"/>
        <v>0.5</v>
      </c>
      <c r="Y98" s="70">
        <f t="shared" si="15"/>
        <v>0.5</v>
      </c>
      <c r="Z98" s="70">
        <f t="shared" si="15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2.5</v>
      </c>
      <c r="V99" s="93">
        <f t="shared" si="16"/>
        <v>2.5</v>
      </c>
      <c r="W99" s="93">
        <f t="shared" si="16"/>
        <v>2.5</v>
      </c>
      <c r="X99" s="93">
        <f t="shared" si="16"/>
        <v>2.5</v>
      </c>
      <c r="Y99" s="93">
        <f t="shared" si="16"/>
        <v>2.5</v>
      </c>
      <c r="Z99" s="93">
        <f t="shared" si="16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168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324340.91936608404</v>
      </c>
      <c r="P103" s="138">
        <f>IF(Inputs!$J$126&gt;0,P71*Inputs!$M$81/Inputs!$M$80*Inputs!$M$75*Inputs!$J$126,P77*Inputs!$M$75*P90*Inputs!$J$123)*$I$13</f>
        <v>325318.21003914694</v>
      </c>
      <c r="Q103" s="138">
        <f>IF(Inputs!$J$126&gt;0,Q71*Inputs!$M$81/Inputs!$M$80*Inputs!$M$75*Inputs!$J$126,Q77*Inputs!$M$75*Q90*Inputs!$J$123)*$I$13</f>
        <v>324011.03221905866</v>
      </c>
      <c r="R103" s="138">
        <f>IF(Inputs!$J$126&gt;0,R71*Inputs!$M$81/Inputs!$M$80*Inputs!$M$75*Inputs!$J$126,R77*Inputs!$M$75*R90*Inputs!$J$123)*$I$13</f>
        <v>328312.96679573733</v>
      </c>
      <c r="S103" s="138">
        <f>IF(Inputs!$J$126&gt;0,S71*Inputs!$M$81/Inputs!$M$80*Inputs!$M$75*Inputs!$J$126,S77*Inputs!$M$75*S90*Inputs!$J$123)*$I$13</f>
        <v>330483.00568476412</v>
      </c>
      <c r="T103" s="138">
        <f>IF(Inputs!$J$126&gt;0,T71*Inputs!$M$81/Inputs!$M$80*Inputs!$M$75*Inputs!$J$126,T77*Inputs!$M$75*T90*Inputs!$J$123)*$I$13</f>
        <v>340111.58678856946</v>
      </c>
      <c r="U103" s="138">
        <f>IF(Inputs!$J$126&gt;0,U71*Inputs!$M$81/Inputs!$M$80*Inputs!$M$75*Inputs!$J$126,U77*Inputs!$M$75*U90*Inputs!$J$123)*$I$13</f>
        <v>349314.40729324496</v>
      </c>
      <c r="V103" s="138">
        <f>IF(Inputs!$J$126&gt;0,V71*Inputs!$M$81/Inputs!$M$80*Inputs!$M$75*Inputs!$J$126,V77*Inputs!$M$75*V90*Inputs!$J$123)*$I$13</f>
        <v>349314.40729324496</v>
      </c>
      <c r="W103" s="138">
        <f>IF(Inputs!$J$126&gt;0,W71*Inputs!$M$81/Inputs!$M$80*Inputs!$M$75*Inputs!$J$126,W77*Inputs!$M$75*W90*Inputs!$J$123)*$I$13</f>
        <v>349314.40729324496</v>
      </c>
      <c r="X103" s="138">
        <f>IF(Inputs!$J$126&gt;0,X71*Inputs!$M$81/Inputs!$M$80*Inputs!$M$75*Inputs!$J$126,X77*Inputs!$M$75*X90*Inputs!$J$123)*$I$13</f>
        <v>349314.40729324496</v>
      </c>
      <c r="Y103" s="138">
        <f>IF(Inputs!$J$126&gt;0,Y71*Inputs!$M$81/Inputs!$M$80*Inputs!$M$75*Inputs!$J$126,Y77*Inputs!$M$75*Y90*Inputs!$J$123)*$I$13</f>
        <v>349314.40729324496</v>
      </c>
      <c r="Z103" s="138">
        <f>IF(Inputs!$J$126&gt;0,Z71*Inputs!$M$81/Inputs!$M$80*Inputs!$M$75*Inputs!$J$126,Z77*Inputs!$M$75*Z90*Inputs!$J$123)*$I$13</f>
        <v>349314.40729324496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17421817.702653099</v>
      </c>
      <c r="P105" s="70">
        <f>P78*Inputs!$M$75*IF(Inputs!$M$126&gt;0,Inputs!$M$126,P93*Inputs!$J$123)*$I$13</f>
        <v>17539092.583420649</v>
      </c>
      <c r="Q105" s="70">
        <f>Q78*Inputs!$M$75*IF(Inputs!$M$126&gt;0,Inputs!$M$126,Q93*Inputs!$J$123)*$I$13</f>
        <v>17382231.245010056</v>
      </c>
      <c r="R105" s="70">
        <f>R78*Inputs!$M$75*IF(Inputs!$M$126&gt;0,Inputs!$M$126,R93*Inputs!$J$123)*$I$13</f>
        <v>17898463.394211497</v>
      </c>
      <c r="S105" s="70">
        <f>S78*Inputs!$M$75*IF(Inputs!$M$126&gt;0,Inputs!$M$126,S93*Inputs!$J$123)*$I$13</f>
        <v>18158868.060894713</v>
      </c>
      <c r="T105" s="70">
        <f>T78*Inputs!$M$75*IF(Inputs!$M$126&gt;0,Inputs!$M$126,T93*Inputs!$J$123)*$I$13</f>
        <v>19314297.793351348</v>
      </c>
      <c r="U105" s="70">
        <f>U78*Inputs!$M$75*IF(Inputs!$M$126&gt;0,Inputs!$M$126,U93*Inputs!$J$123)*$I$13</f>
        <v>20418636.253912408</v>
      </c>
      <c r="V105" s="70">
        <f>V78*Inputs!$M$75*IF(Inputs!$M$126&gt;0,Inputs!$M$126,V93*Inputs!$J$123)*$I$13</f>
        <v>20418636.253912408</v>
      </c>
      <c r="W105" s="70">
        <f>W78*Inputs!$M$75*IF(Inputs!$M$126&gt;0,Inputs!$M$126,W93*Inputs!$J$123)*$I$13</f>
        <v>20418636.253912408</v>
      </c>
      <c r="X105" s="70">
        <f>X78*Inputs!$M$75*IF(Inputs!$M$126&gt;0,Inputs!$M$126,X93*Inputs!$J$123)*$I$13</f>
        <v>20418636.253912408</v>
      </c>
      <c r="Y105" s="70">
        <f>Y78*Inputs!$M$75*IF(Inputs!$M$126&gt;0,Inputs!$M$126,Y93*Inputs!$J$123)*$I$13</f>
        <v>20418636.253912408</v>
      </c>
      <c r="Z105" s="70">
        <f>Z78*Inputs!$M$75*IF(Inputs!$M$126&gt;0,Inputs!$M$126,Z93*Inputs!$J$123)*$I$13</f>
        <v>20418636.253912408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17421817.702653099</v>
      </c>
      <c r="P106" s="70">
        <f>P79*Inputs!$M$75*IF(Inputs!$M$126&gt;0,Inputs!$M$126,P96*Inputs!$J$123)*$I$13</f>
        <v>17539092.583420649</v>
      </c>
      <c r="Q106" s="70">
        <f>Q79*Inputs!$M$75*IF(Inputs!$M$126&gt;0,Inputs!$M$126,Q96*Inputs!$J$123)*$I$13</f>
        <v>17382231.245010056</v>
      </c>
      <c r="R106" s="70">
        <f>R79*Inputs!$M$75*IF(Inputs!$M$126&gt;0,Inputs!$M$126,R96*Inputs!$J$123)*$I$13</f>
        <v>17898463.394211497</v>
      </c>
      <c r="S106" s="70">
        <f>S79*Inputs!$M$75*IF(Inputs!$M$126&gt;0,Inputs!$M$126,S96*Inputs!$J$123)*$I$13</f>
        <v>18158868.060894713</v>
      </c>
      <c r="T106" s="70">
        <f>T79*Inputs!$M$75*IF(Inputs!$M$126&gt;0,Inputs!$M$126,T96*Inputs!$J$123)*$I$13</f>
        <v>19314297.793351348</v>
      </c>
      <c r="U106" s="70">
        <f>U79*Inputs!$M$75*IF(Inputs!$M$126&gt;0,Inputs!$M$126,U96*Inputs!$J$123)*$I$13</f>
        <v>20418636.253912408</v>
      </c>
      <c r="V106" s="70">
        <f>V79*Inputs!$M$75*IF(Inputs!$M$126&gt;0,Inputs!$M$126,V96*Inputs!$J$123)*$I$13</f>
        <v>20418636.253912408</v>
      </c>
      <c r="W106" s="70">
        <f>W79*Inputs!$M$75*IF(Inputs!$M$126&gt;0,Inputs!$M$126,W96*Inputs!$J$123)*$I$13</f>
        <v>20418636.253912408</v>
      </c>
      <c r="X106" s="70">
        <f>X79*Inputs!$M$75*IF(Inputs!$M$126&gt;0,Inputs!$M$126,X96*Inputs!$J$123)*$I$13</f>
        <v>20418636.253912408</v>
      </c>
      <c r="Y106" s="70">
        <f>Y79*Inputs!$M$75*IF(Inputs!$M$126&gt;0,Inputs!$M$126,Y96*Inputs!$J$123)*$I$13</f>
        <v>20418636.253912408</v>
      </c>
      <c r="Z106" s="70">
        <f>Z79*Inputs!$M$75*IF(Inputs!$M$126&gt;0,Inputs!$M$126,Z96*Inputs!$J$123)*$I$13</f>
        <v>20418636.253912408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17421817.702653099</v>
      </c>
      <c r="P107" s="70">
        <f>P80*Inputs!$M$75*IF(Inputs!$M$126&gt;0,Inputs!$M$126,P99*Inputs!$J$123)*$I$13</f>
        <v>17539092.583420649</v>
      </c>
      <c r="Q107" s="70">
        <f>Q80*Inputs!$M$75*IF(Inputs!$M$126&gt;0,Inputs!$M$126,Q99*Inputs!$J$123)*$I$13</f>
        <v>17382231.245010056</v>
      </c>
      <c r="R107" s="70">
        <f>R80*Inputs!$M$75*IF(Inputs!$M$126&gt;0,Inputs!$M$126,R99*Inputs!$J$123)*$I$13</f>
        <v>17898463.394211497</v>
      </c>
      <c r="S107" s="70">
        <f>S80*Inputs!$M$75*IF(Inputs!$M$126&gt;0,Inputs!$M$126,S99*Inputs!$J$123)*$I$13</f>
        <v>18158868.060894713</v>
      </c>
      <c r="T107" s="70">
        <f>T80*Inputs!$M$75*IF(Inputs!$M$126&gt;0,Inputs!$M$126,T99*Inputs!$J$123)*$I$13</f>
        <v>19314297.793351348</v>
      </c>
      <c r="U107" s="70">
        <f>U80*Inputs!$M$75*IF(Inputs!$M$126&gt;0,Inputs!$M$126,U99*Inputs!$J$123)*$I$13</f>
        <v>20418636.253912408</v>
      </c>
      <c r="V107" s="70">
        <f>V80*Inputs!$M$75*IF(Inputs!$M$126&gt;0,Inputs!$M$126,V99*Inputs!$J$123)*$I$13</f>
        <v>20418636.253912408</v>
      </c>
      <c r="W107" s="70">
        <f>W80*Inputs!$M$75*IF(Inputs!$M$126&gt;0,Inputs!$M$126,W99*Inputs!$J$123)*$I$13</f>
        <v>20418636.253912408</v>
      </c>
      <c r="X107" s="70">
        <f>X80*Inputs!$M$75*IF(Inputs!$M$126&gt;0,Inputs!$M$126,X99*Inputs!$J$123)*$I$13</f>
        <v>20418636.253912408</v>
      </c>
      <c r="Y107" s="70">
        <f>Y80*Inputs!$M$75*IF(Inputs!$M$126&gt;0,Inputs!$M$126,Y99*Inputs!$J$123)*$I$13</f>
        <v>20418636.253912408</v>
      </c>
      <c r="Z107" s="70">
        <f>Z80*Inputs!$M$75*IF(Inputs!$M$126&gt;0,Inputs!$M$126,Z99*Inputs!$J$123)*$I$13</f>
        <v>20418636.253912408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169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170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4.4720778732677886E-2</v>
      </c>
      <c r="P114" s="56">
        <f>Inputs!P64*$I$9</f>
        <v>4.7971765400098135E-2</v>
      </c>
      <c r="Q114" s="56">
        <f>Inputs!Q64*$I$9</f>
        <v>5.1488467686128192E-2</v>
      </c>
      <c r="R114" s="56">
        <f>Inputs!R64*$I$9</f>
        <v>5.5293763623082165E-2</v>
      </c>
      <c r="S114" s="56">
        <f>Inputs!S64*$I$9</f>
        <v>5.9412563487590955E-2</v>
      </c>
      <c r="T114" s="56">
        <f>Inputs!T64*$I$9</f>
        <v>6.3871993899775228E-2</v>
      </c>
      <c r="U114" s="56">
        <f>Inputs!U64*$I$9</f>
        <v>6.8701598813693213E-2</v>
      </c>
      <c r="V114" s="56">
        <f>Inputs!V64*$I$9</f>
        <v>7.3933558961954568E-2</v>
      </c>
      <c r="W114" s="56">
        <f>Inputs!W64*$I$9</f>
        <v>7.9602931462809806E-2</v>
      </c>
      <c r="X114" s="56">
        <f>Inputs!X64*$I$9</f>
        <v>8.5747911457026288E-2</v>
      </c>
      <c r="Y114" s="56">
        <f>Inputs!Y64*$I$9</f>
        <v>9.2410117815713247E-2</v>
      </c>
      <c r="Z114" s="56">
        <f>Inputs!Z64*$I$9</f>
        <v>9.958994603610552E-2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4.9689754147419878E-3</v>
      </c>
      <c r="P115" s="56">
        <f>Inputs!P65*$I$9</f>
        <v>5.3301961555664596E-3</v>
      </c>
      <c r="Q115" s="56">
        <f>Inputs!Q65*$I$9</f>
        <v>5.7209408540142446E-3</v>
      </c>
      <c r="R115" s="56">
        <f>Inputs!R65*$I$9</f>
        <v>6.1437515136757975E-3</v>
      </c>
      <c r="S115" s="56">
        <f>Inputs!S65*$I$9</f>
        <v>6.6013959430656624E-3</v>
      </c>
      <c r="T115" s="56">
        <f>Inputs!T65*$I$9</f>
        <v>7.0968882110861364E-3</v>
      </c>
      <c r="U115" s="56">
        <f>Inputs!U65*$I$9</f>
        <v>7.6335109792992481E-3</v>
      </c>
      <c r="V115" s="56">
        <f>Inputs!V65*$I$9</f>
        <v>8.2148398846616181E-3</v>
      </c>
      <c r="W115" s="56">
        <f>Inputs!W65*$I$9</f>
        <v>8.8447701625344252E-3</v>
      </c>
      <c r="X115" s="56">
        <f>Inputs!X65*$I$9</f>
        <v>9.5275457174473673E-3</v>
      </c>
      <c r="Y115" s="56">
        <f>Inputs!Y65*$I$9</f>
        <v>1.0267790868412584E-2</v>
      </c>
      <c r="Z115" s="56">
        <f>Inputs!Z65*$I$9</f>
        <v>1.1065549559567282E-2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171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14504.778488923965</v>
      </c>
      <c r="P119" s="70">
        <f t="shared" ref="P119:Z119" si="17">P103*P114*$T$37</f>
        <v>15606.088852377807</v>
      </c>
      <c r="Q119" s="70">
        <f t="shared" si="17"/>
        <v>16682.831562360043</v>
      </c>
      <c r="R119" s="70">
        <f t="shared" si="17"/>
        <v>18153.659580396325</v>
      </c>
      <c r="S119" s="70">
        <f t="shared" si="17"/>
        <v>19634.842556815933</v>
      </c>
      <c r="T119" s="70">
        <f t="shared" si="17"/>
        <v>21723.605196602381</v>
      </c>
      <c r="U119" s="70">
        <f t="shared" si="17"/>
        <v>23998.458269703548</v>
      </c>
      <c r="V119" s="70">
        <f t="shared" si="17"/>
        <v>25826.05732787534</v>
      </c>
      <c r="W119" s="70">
        <f t="shared" si="17"/>
        <v>27806.450822736209</v>
      </c>
      <c r="X119" s="70">
        <f t="shared" si="17"/>
        <v>29952.980867244787</v>
      </c>
      <c r="Y119" s="70">
        <f t="shared" si="17"/>
        <v>32280.18553269481</v>
      </c>
      <c r="Z119" s="70">
        <f t="shared" si="17"/>
        <v>34788.202971968451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O105*O115*$T$27+IF(Inputs!$K$126=0,O103*O115*$T$27,0)</f>
        <v>88180.225898924866</v>
      </c>
      <c r="P120" s="138">
        <f>P105*P115*$T$27+IF(Inputs!$K$126=0,P103*P115*$T$27,0)</f>
        <v>95220.813732759372</v>
      </c>
      <c r="Q120" s="138">
        <f>Q105*Q115*$T$27+IF(Inputs!$K$126=0,Q103*Q115*$T$27,0)</f>
        <v>101296.36481487425</v>
      </c>
      <c r="R120" s="138">
        <f>R105*R115*$T$27+IF(Inputs!$K$126=0,R103*R115*$T$27,0)</f>
        <v>111980.78485736843</v>
      </c>
      <c r="S120" s="138">
        <f>S105*S115*$T$27+IF(Inputs!$K$126=0,S103*S115*$T$27,0)</f>
        <v>122055.52712083454</v>
      </c>
      <c r="T120" s="138">
        <f>T105*T115*$T$27+IF(Inputs!$K$126=0,T103*T115*$T$27,0)</f>
        <v>139485.14622577577</v>
      </c>
      <c r="U120" s="138">
        <f>U105*U115*$T$27+IF(Inputs!$K$126=0,U103*U115*$T$27,0)</f>
        <v>158532.37938985843</v>
      </c>
      <c r="V120" s="138">
        <f>V105*V115*$T$27+IF(Inputs!$K$126=0,V103*V115*$T$27,0)</f>
        <v>170605.38941435682</v>
      </c>
      <c r="W120" s="138">
        <f>W105*W115*$T$27+IF(Inputs!$K$126=0,W103*W115*$T$27,0)</f>
        <v>183687.75034521884</v>
      </c>
      <c r="X120" s="138">
        <f>X105*X115*$T$27+IF(Inputs!$K$126=0,X103*X115*$T$27,0)</f>
        <v>197867.59938232813</v>
      </c>
      <c r="Y120" s="138">
        <f>Y105*Y115*$T$27+IF(Inputs!$K$126=0,Y103*Y115*$T$27,0)</f>
        <v>213240.97415477049</v>
      </c>
      <c r="Z120" s="138">
        <f>Z105*Z115*$T$27+IF(Inputs!$K$126=0,Z103*Z115*$T$27,0)</f>
        <v>229808.78729221926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0">P107*P116*$T$17</f>
        <v>0</v>
      </c>
      <c r="Q121" s="70">
        <f t="shared" si="20"/>
        <v>0</v>
      </c>
      <c r="R121" s="70">
        <f t="shared" si="20"/>
        <v>0</v>
      </c>
      <c r="S121" s="70">
        <f t="shared" si="20"/>
        <v>0</v>
      </c>
      <c r="T121" s="70">
        <f t="shared" si="20"/>
        <v>0</v>
      </c>
      <c r="U121" s="70">
        <f t="shared" si="20"/>
        <v>0</v>
      </c>
      <c r="V121" s="70">
        <f t="shared" si="20"/>
        <v>0</v>
      </c>
      <c r="W121" s="70">
        <f t="shared" si="20"/>
        <v>0</v>
      </c>
      <c r="X121" s="70">
        <f t="shared" si="20"/>
        <v>0</v>
      </c>
      <c r="Y121" s="70">
        <f t="shared" si="20"/>
        <v>0</v>
      </c>
      <c r="Z121" s="70">
        <f t="shared" si="20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189</v>
      </c>
      <c r="E122" s="51"/>
      <c r="F122" s="51"/>
      <c r="G122" s="51"/>
      <c r="H122" s="51"/>
      <c r="I122" s="51"/>
      <c r="J122" s="139" t="str">
        <f>J119</f>
        <v>Significant</v>
      </c>
      <c r="K122" s="51"/>
      <c r="L122" s="51"/>
      <c r="M122" s="51"/>
      <c r="N122" s="51"/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0</v>
      </c>
      <c r="Z122" s="117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172</v>
      </c>
      <c r="E124" s="51"/>
      <c r="F124" s="51"/>
      <c r="G124" s="51"/>
      <c r="H124" s="51"/>
      <c r="I124" s="51"/>
      <c r="J124" s="139" t="str">
        <f>J119</f>
        <v>Significant</v>
      </c>
      <c r="K124" s="51"/>
      <c r="L124" s="51"/>
      <c r="M124" s="51"/>
      <c r="N124" s="51"/>
      <c r="O124" s="88">
        <f t="shared" ref="O124:Z124" si="21">SUMIF($J$49:$J$51,$J124,$V$49:$V$51)*O114</f>
        <v>4758.3426202791343</v>
      </c>
      <c r="P124" s="88">
        <f t="shared" si="21"/>
        <v>5104.2513646239959</v>
      </c>
      <c r="Q124" s="88">
        <f t="shared" si="21"/>
        <v>5478.432558347763</v>
      </c>
      <c r="R124" s="88">
        <f t="shared" si="21"/>
        <v>5883.3204505693766</v>
      </c>
      <c r="S124" s="88">
        <f t="shared" si="21"/>
        <v>6321.5655235553531</v>
      </c>
      <c r="T124" s="88">
        <f t="shared" si="21"/>
        <v>6796.0540810848779</v>
      </c>
      <c r="U124" s="88">
        <f t="shared" si="21"/>
        <v>7309.929634066094</v>
      </c>
      <c r="V124" s="88">
        <f t="shared" si="21"/>
        <v>7866.6162496970201</v>
      </c>
      <c r="W124" s="88">
        <f t="shared" si="21"/>
        <v>8469.8440459371996</v>
      </c>
      <c r="X124" s="88">
        <f t="shared" si="21"/>
        <v>9123.6770299741493</v>
      </c>
      <c r="Y124" s="88">
        <f t="shared" si="21"/>
        <v>9832.5434978666362</v>
      </c>
      <c r="Z124" s="88">
        <f t="shared" si="21"/>
        <v>10596.485530978225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173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106419.9184433256</v>
      </c>
      <c r="P125" s="70">
        <f t="shared" si="22"/>
        <v>114156.13739593516</v>
      </c>
      <c r="Q125" s="70">
        <f t="shared" si="22"/>
        <v>122524.66721751697</v>
      </c>
      <c r="R125" s="70">
        <f t="shared" si="22"/>
        <v>131579.94967769142</v>
      </c>
      <c r="S125" s="70">
        <f t="shared" si="22"/>
        <v>141381.26258159929</v>
      </c>
      <c r="T125" s="70">
        <f t="shared" si="22"/>
        <v>151993.15786198183</v>
      </c>
      <c r="U125" s="70">
        <f t="shared" si="22"/>
        <v>163485.93986662698</v>
      </c>
      <c r="V125" s="70">
        <f t="shared" si="22"/>
        <v>175936.18756032048</v>
      </c>
      <c r="W125" s="70">
        <f t="shared" si="22"/>
        <v>189427.32470648535</v>
      </c>
      <c r="X125" s="70">
        <f t="shared" si="22"/>
        <v>204050.24247205947</v>
      </c>
      <c r="Y125" s="70">
        <f t="shared" si="22"/>
        <v>219903.97931287176</v>
      </c>
      <c r="Z125" s="70">
        <f t="shared" si="22"/>
        <v>236989.47637495483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174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175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42341.084601769915</v>
      </c>
      <c r="P127" s="70">
        <f>Inputs!$J$27*$I$11</f>
        <v>42341.084601769915</v>
      </c>
      <c r="Q127" s="70">
        <f>Inputs!$J$27*$I$11</f>
        <v>42341.084601769915</v>
      </c>
      <c r="R127" s="70">
        <f>Inputs!$J$27*$I$11</f>
        <v>42341.084601769915</v>
      </c>
      <c r="S127" s="70">
        <f>Inputs!$J$27*$I$11</f>
        <v>42341.084601769915</v>
      </c>
      <c r="T127" s="70">
        <f>Inputs!$J$27*$I$11</f>
        <v>42341.084601769915</v>
      </c>
      <c r="U127" s="70">
        <f>Inputs!$J$27*$I$11</f>
        <v>42341.084601769915</v>
      </c>
      <c r="V127" s="70">
        <f>Inputs!$J$27*$I$11</f>
        <v>42341.084601769915</v>
      </c>
      <c r="W127" s="70">
        <f>Inputs!$J$27*$I$11</f>
        <v>42341.084601769915</v>
      </c>
      <c r="X127" s="70">
        <f>Inputs!$J$27*$I$11</f>
        <v>42341.084601769915</v>
      </c>
      <c r="Y127" s="70">
        <f>Inputs!$J$27*$I$11</f>
        <v>42341.084601769915</v>
      </c>
      <c r="Z127" s="70">
        <f>Inputs!$J$27*$I$11</f>
        <v>42341.084601769915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163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256204.35005322349</v>
      </c>
      <c r="P128" s="98">
        <f t="shared" ref="P128:Z128" si="24">SUM(P119:P127)</f>
        <v>272428.37594746624</v>
      </c>
      <c r="Q128" s="98">
        <f t="shared" si="24"/>
        <v>288323.38075486897</v>
      </c>
      <c r="R128" s="98">
        <f t="shared" si="24"/>
        <v>309938.79916779546</v>
      </c>
      <c r="S128" s="98">
        <f t="shared" si="24"/>
        <v>331734.28238457505</v>
      </c>
      <c r="T128" s="98">
        <f t="shared" si="24"/>
        <v>362339.04796721478</v>
      </c>
      <c r="U128" s="98">
        <f t="shared" si="24"/>
        <v>395667.79176202498</v>
      </c>
      <c r="V128" s="98">
        <f t="shared" si="24"/>
        <v>422575.33515401959</v>
      </c>
      <c r="W128" s="98">
        <f t="shared" si="24"/>
        <v>451732.45452214754</v>
      </c>
      <c r="X128" s="98">
        <f t="shared" si="24"/>
        <v>483335.58435337647</v>
      </c>
      <c r="Y128" s="98">
        <f t="shared" si="24"/>
        <v>517598.76709997363</v>
      </c>
      <c r="Z128" s="98">
        <f t="shared" si="24"/>
        <v>554524.03677189071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176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177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178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B'!$I$10</f>
        <v>0</v>
      </c>
      <c r="P135" s="70">
        <f>Inputs!P22*'Scenario B'!$I$10</f>
        <v>0</v>
      </c>
      <c r="Q135" s="70">
        <f>Inputs!Q22*'Scenario B'!$I$10</f>
        <v>69946.725663716818</v>
      </c>
      <c r="R135" s="70">
        <f>Inputs!R22*'Scenario B'!$I$10</f>
        <v>2050931.2587610621</v>
      </c>
      <c r="S135" s="70">
        <f>Inputs!S22*'Scenario B'!$I$10</f>
        <v>5475164.0200180523</v>
      </c>
      <c r="T135" s="70">
        <f>Inputs!T22*'Scenario B'!$I$10</f>
        <v>0</v>
      </c>
      <c r="U135" s="70">
        <f>Inputs!U22*'Scenario B'!$I$10</f>
        <v>0</v>
      </c>
      <c r="V135" s="70">
        <f>Inputs!V22*'Scenario B'!$I$10</f>
        <v>0</v>
      </c>
      <c r="W135" s="70">
        <f>Inputs!W22*'Scenario B'!$I$10</f>
        <v>0</v>
      </c>
      <c r="X135" s="70">
        <f>Inputs!X22*'Scenario B'!$I$10</f>
        <v>0</v>
      </c>
      <c r="Y135" s="70">
        <f>Inputs!Y22*'Scenario B'!$I$10</f>
        <v>0</v>
      </c>
      <c r="Z135" s="70">
        <f>Inputs!Z22*'Scenario B'!$I$10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179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1</v>
      </c>
      <c r="R136" s="70">
        <f t="shared" si="25"/>
        <v>1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180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1.0557562500000002</v>
      </c>
      <c r="R137" s="56">
        <f>(R136=1)*(1+Inputs!$J$11)^(SUM(R136:$Z136)-1)</f>
        <v>1.0275000000000001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181</v>
      </c>
      <c r="E138" s="51"/>
      <c r="F138" s="51"/>
      <c r="G138" s="51"/>
      <c r="H138" s="51"/>
      <c r="I138" s="51"/>
      <c r="J138" s="70">
        <f>PMT(Inputs!$J$11,Inputs!$J$12,-SUMPRODUCT('Scenario B'!O135:Z135,'Scenario B'!O137:Z137),0,0)</f>
        <v>283597.96922458196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182</v>
      </c>
      <c r="E139" s="51"/>
      <c r="F139" s="51"/>
      <c r="G139" s="51"/>
      <c r="H139" s="51"/>
      <c r="I139" s="51"/>
      <c r="J139" s="70">
        <f>Inputs!K27*$I$11</f>
        <v>18745.722477876108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183</v>
      </c>
      <c r="E140" s="51"/>
      <c r="F140" s="51"/>
      <c r="G140" s="51"/>
      <c r="H140" s="51"/>
      <c r="I140" s="51"/>
      <c r="J140" s="70">
        <f>SUM(J138:J139)</f>
        <v>302343.69170245808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184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185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186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256204.35005322349</v>
      </c>
      <c r="P147" s="70">
        <f t="shared" ref="P147:Z147" si="27">P128</f>
        <v>272428.37594746624</v>
      </c>
      <c r="Q147" s="70">
        <f t="shared" si="27"/>
        <v>288323.38075486897</v>
      </c>
      <c r="R147" s="70">
        <f t="shared" si="27"/>
        <v>309938.79916779546</v>
      </c>
      <c r="S147" s="70">
        <f t="shared" si="27"/>
        <v>331734.28238457505</v>
      </c>
      <c r="T147" s="70">
        <f t="shared" si="27"/>
        <v>362339.04796721478</v>
      </c>
      <c r="U147" s="70">
        <f t="shared" si="27"/>
        <v>395667.79176202498</v>
      </c>
      <c r="V147" s="70">
        <f t="shared" si="27"/>
        <v>422575.33515401959</v>
      </c>
      <c r="W147" s="70">
        <f t="shared" si="27"/>
        <v>451732.45452214754</v>
      </c>
      <c r="X147" s="70">
        <f t="shared" si="27"/>
        <v>483335.58435337647</v>
      </c>
      <c r="Y147" s="70">
        <f t="shared" si="27"/>
        <v>517598.76709997363</v>
      </c>
      <c r="Z147" s="70">
        <f t="shared" si="27"/>
        <v>554524.03677189071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176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302343.69170245808</v>
      </c>
      <c r="P148" s="70">
        <f t="shared" ref="P148:Z148" si="28">$J$140</f>
        <v>302343.69170245808</v>
      </c>
      <c r="Q148" s="70">
        <f t="shared" si="28"/>
        <v>302343.69170245808</v>
      </c>
      <c r="R148" s="70">
        <f t="shared" si="28"/>
        <v>302343.69170245808</v>
      </c>
      <c r="S148" s="70">
        <f t="shared" si="28"/>
        <v>302343.69170245808</v>
      </c>
      <c r="T148" s="70">
        <f t="shared" si="28"/>
        <v>302343.69170245808</v>
      </c>
      <c r="U148" s="70">
        <f t="shared" si="28"/>
        <v>302343.69170245808</v>
      </c>
      <c r="V148" s="70">
        <f t="shared" si="28"/>
        <v>302343.69170245808</v>
      </c>
      <c r="W148" s="70">
        <f t="shared" si="28"/>
        <v>302343.69170245808</v>
      </c>
      <c r="X148" s="70">
        <f t="shared" si="28"/>
        <v>302343.69170245808</v>
      </c>
      <c r="Y148" s="70">
        <f t="shared" si="28"/>
        <v>302343.69170245808</v>
      </c>
      <c r="Z148" s="70">
        <f t="shared" si="28"/>
        <v>302343.69170245808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187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0</v>
      </c>
      <c r="P149" s="99" t="b">
        <f t="shared" ref="P149:Z149" si="29">(P147&gt;=P148)</f>
        <v>0</v>
      </c>
      <c r="Q149" s="99" t="b">
        <f t="shared" si="29"/>
        <v>0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147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B Switchboard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C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C: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148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149</v>
      </c>
      <c r="D8" s="51"/>
      <c r="E8" s="51"/>
      <c r="F8" s="51"/>
      <c r="G8" s="51"/>
      <c r="H8" s="51"/>
      <c r="I8" s="55" t="s">
        <v>31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C'!$I$8,Inputs!$D$52:$D$57,0),MATCH('Scenario C'!$D9,Inputs!$D$52:$O$52,0))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C'!$I$8,Inputs!$D$52:$D$57,0),MATCH('Scenario C'!$D10,Inputs!$D$52:$O$52,0))</f>
        <v>1.1000000000000001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C'!$I$8,Inputs!$D$52:$D$57,0),MATCH('Scenario C'!$D11,Inputs!$D$52:$O$52,0))</f>
        <v>1.1000000000000001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C'!$I$8,Inputs!$D$52:$D$57,0),MATCH('Scenario C'!$D12,Inputs!$D$52:$O$52,0))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C'!$I$8,Inputs!$D$52:$D$57,0),MATCH('Scenario C'!$D13,Inputs!$D$52:$O$52,0))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C'!$I$8,Inputs!$D$52:$D$57,0),MATCH('Scenario C'!$D14,Inputs!$D$52:$O$52,0))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69</v>
      </c>
      <c r="J16" s="58" t="s">
        <v>150</v>
      </c>
      <c r="K16" s="58" t="s">
        <v>151</v>
      </c>
      <c r="L16" s="58"/>
      <c r="M16" s="58"/>
      <c r="N16" s="59"/>
      <c r="O16" s="57" t="s">
        <v>152</v>
      </c>
      <c r="P16" s="58" t="s">
        <v>153</v>
      </c>
      <c r="Q16" s="58" t="s">
        <v>154</v>
      </c>
      <c r="R16" s="58" t="s">
        <v>155</v>
      </c>
      <c r="S16" s="58" t="s">
        <v>25</v>
      </c>
      <c r="T16" s="60" t="s">
        <v>156</v>
      </c>
      <c r="U16" s="57" t="s">
        <v>157</v>
      </c>
      <c r="V16" s="61" t="s">
        <v>158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C'!J17,Inputs!$D$64:$D$66,0))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C'!J18,Inputs!$D$64:$D$66,0))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C'!J19,Inputs!$D$64:$D$66,0))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C'!J20,Inputs!$D$64:$D$66,0))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C'!J21,Inputs!$D$64:$D$66,0))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C'!J22,Inputs!$D$64:$D$66,0))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C'!J23,Inputs!$D$64:$D$66,0))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C'!J24,Inputs!$D$64:$D$66,0))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C'!J25,Inputs!$D$64:$D$66,0))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C'!J26,Inputs!$D$64:$D$66,0))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C'!J27,Inputs!$D$64:$D$66,0))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26300701.327374041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26300701.327374041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C'!J28,Inputs!$D$64:$D$66,0))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32586.166129224315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32586.166129224315</v>
      </c>
      <c r="V28" s="75">
        <f t="shared" si="1"/>
        <v>32586.166129224315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C'!J29,Inputs!$D$64:$D$66,0))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16690438.080689223</v>
      </c>
      <c r="R29" s="71">
        <v>0</v>
      </c>
      <c r="S29" s="72">
        <v>0</v>
      </c>
      <c r="T29" s="73">
        <f>'Base Case'!$T29</f>
        <v>1</v>
      </c>
      <c r="U29" s="74">
        <f t="shared" si="0"/>
        <v>16690438.080689223</v>
      </c>
      <c r="V29" s="75">
        <f t="shared" si="1"/>
        <v>16690438.080689223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C'!J30,Inputs!$D$64:$D$66,0))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9284051.3387634605</v>
      </c>
      <c r="S30" s="72">
        <v>0</v>
      </c>
      <c r="T30" s="73">
        <f>'Base Case'!$T30</f>
        <v>1</v>
      </c>
      <c r="U30" s="74">
        <f t="shared" si="0"/>
        <v>9284051.3387634605</v>
      </c>
      <c r="V30" s="75">
        <f t="shared" si="1"/>
        <v>9284051.3387634605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C'!J31,Inputs!$D$64:$D$66,0))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Inputs!$K$105*$I$14</f>
        <v>104868.27610619471</v>
      </c>
      <c r="T31" s="73">
        <f>'Base Case'!$T31</f>
        <v>1</v>
      </c>
      <c r="U31" s="74">
        <f t="shared" si="0"/>
        <v>104868.27610619471</v>
      </c>
      <c r="V31" s="75">
        <f t="shared" si="1"/>
        <v>104868.27610619471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C'!J32,Inputs!$D$64:$D$66,0))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56993.62831858408</v>
      </c>
      <c r="R32" s="71">
        <v>0</v>
      </c>
      <c r="S32" s="72">
        <v>0</v>
      </c>
      <c r="T32" s="73">
        <f>'Base Case'!$T32</f>
        <v>1</v>
      </c>
      <c r="U32" s="74">
        <f t="shared" si="0"/>
        <v>56993.62831858408</v>
      </c>
      <c r="V32" s="75">
        <f t="shared" si="1"/>
        <v>56993.62831858408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C'!J33,Inputs!$D$64:$D$66,0))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C'!J34,Inputs!$D$64:$D$66,0))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C'!J35,Inputs!$D$64:$D$66,0))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C'!J36,Inputs!$D$64:$D$66,0))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C'!J37,Inputs!$D$64:$D$66,0))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438144.75072260486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438144.75072260486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C'!J38,Inputs!$D$64:$D$66,0))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6517.2332258448641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6517.2332258448641</v>
      </c>
      <c r="V38" s="75">
        <f t="shared" si="1"/>
        <v>6517.2332258448641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C'!J39,Inputs!$D$64:$D$66,0))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C'!J40,Inputs!$D$64:$D$66,0))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51750.214513274346</v>
      </c>
      <c r="S40" s="72">
        <v>0</v>
      </c>
      <c r="T40" s="73">
        <f>'Base Case'!$T40</f>
        <v>1</v>
      </c>
      <c r="U40" s="74">
        <f t="shared" si="0"/>
        <v>51750.214513274346</v>
      </c>
      <c r="V40" s="75">
        <f t="shared" si="1"/>
        <v>51750.214513274346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C'!J41,Inputs!$D$64:$D$66,0))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Inputs!$J$105*$I$14</f>
        <v>13336.509026548676</v>
      </c>
      <c r="T41" s="73">
        <f>'Base Case'!$T41</f>
        <v>1</v>
      </c>
      <c r="U41" s="74">
        <f t="shared" si="0"/>
        <v>13336.509026548676</v>
      </c>
      <c r="V41" s="75">
        <f t="shared" si="1"/>
        <v>13336.509026548676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C'!J42,Inputs!$D$64:$D$66,0))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56993.62831858408</v>
      </c>
      <c r="R42" s="71">
        <v>0</v>
      </c>
      <c r="S42" s="72">
        <v>0</v>
      </c>
      <c r="T42" s="73">
        <f>'Base Case'!$T42</f>
        <v>1</v>
      </c>
      <c r="U42" s="74">
        <f t="shared" si="0"/>
        <v>56993.62831858408</v>
      </c>
      <c r="V42" s="75">
        <f t="shared" si="1"/>
        <v>56993.62831858408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C'!J43,Inputs!$D$64:$D$66,0))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C'!J44,Inputs!$D$64:$D$66,0))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C'!J45,Inputs!$D$64:$D$66,0))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C'!J46,Inputs!$D$64:$D$66,0))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C'!J49,Inputs!$D$64:$D$66,0))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438144.75072260486</v>
      </c>
      <c r="P49" s="70">
        <f t="shared" ref="P49:V49" si="2">SUMIF($I$17:$I$46,$I49,P$17:P$46)</f>
        <v>6517.2332258448641</v>
      </c>
      <c r="Q49" s="70">
        <f t="shared" si="2"/>
        <v>56993.62831858408</v>
      </c>
      <c r="R49" s="70">
        <f t="shared" si="2"/>
        <v>51750.214513274346</v>
      </c>
      <c r="S49" s="70">
        <f t="shared" si="2"/>
        <v>13336.509026548676</v>
      </c>
      <c r="T49" s="56">
        <f>U49/SUM(O49:S49)</f>
        <v>1</v>
      </c>
      <c r="U49" s="70">
        <f t="shared" si="2"/>
        <v>566742.33580685686</v>
      </c>
      <c r="V49" s="70">
        <f t="shared" si="2"/>
        <v>128597.58508425197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C'!J50,Inputs!$D$64:$D$66,0))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26300701.327374041</v>
      </c>
      <c r="P50" s="70">
        <f t="shared" si="3"/>
        <v>32586.166129224315</v>
      </c>
      <c r="Q50" s="70">
        <f t="shared" si="3"/>
        <v>16747431.709007807</v>
      </c>
      <c r="R50" s="70">
        <f t="shared" si="3"/>
        <v>9284051.3387634605</v>
      </c>
      <c r="S50" s="70">
        <f t="shared" si="3"/>
        <v>104868.27610619471</v>
      </c>
      <c r="T50" s="56">
        <f t="shared" ref="T50:T51" si="4">U50/SUM(O50:S50)</f>
        <v>1</v>
      </c>
      <c r="U50" s="70">
        <f t="shared" si="3"/>
        <v>52469638.817380726</v>
      </c>
      <c r="V50" s="70">
        <f t="shared" si="3"/>
        <v>26168937.490006685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C'!J51,Inputs!$D$64:$D$66,0))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53036381.15318758</v>
      </c>
      <c r="V52" s="88">
        <f>SUM(V49:V51)</f>
        <v>26297535.075090937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C: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50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51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52</v>
      </c>
      <c r="D59" s="51"/>
      <c r="E59" s="51"/>
      <c r="F59" s="51"/>
      <c r="G59" s="51"/>
      <c r="H59" s="51"/>
      <c r="I59" s="51"/>
      <c r="J59" s="70">
        <f>Inputs!J80</f>
        <v>58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53</v>
      </c>
      <c r="E60" s="51"/>
      <c r="F60" s="51"/>
      <c r="G60" s="51"/>
      <c r="H60" s="51"/>
      <c r="I60" s="51"/>
      <c r="J60" s="70">
        <f>Inputs!J81</f>
        <v>29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54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55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56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57</v>
      </c>
      <c r="E64" s="87"/>
      <c r="F64" s="87"/>
      <c r="G64" s="87"/>
      <c r="H64" s="87"/>
      <c r="I64" s="87"/>
      <c r="J64" s="70">
        <f>Inputs!J85</f>
        <v>16.509999999999998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34.622699999999995</v>
      </c>
      <c r="P69" s="70">
        <f>Inputs!P185*$I$12</f>
        <v>34.976550000000003</v>
      </c>
      <c r="Q69" s="70">
        <f>Inputs!Q185*$I$12</f>
        <v>34.478850000000008</v>
      </c>
      <c r="R69" s="70">
        <f>Inputs!R185*$I$12</f>
        <v>34.910399999999996</v>
      </c>
      <c r="S69" s="70">
        <f>Inputs!S185*$I$12</f>
        <v>35.355599999999995</v>
      </c>
      <c r="T69" s="70">
        <f>Inputs!T185*$I$12</f>
        <v>36.174599999999998</v>
      </c>
      <c r="U69" s="70">
        <f>Inputs!U185*$I$12</f>
        <v>37.647749999999995</v>
      </c>
      <c r="V69" s="70">
        <f>Inputs!V185*$I$12</f>
        <v>37.647749999999995</v>
      </c>
      <c r="W69" s="70">
        <f>Inputs!W185*$I$12</f>
        <v>37.647749999999995</v>
      </c>
      <c r="X69" s="70">
        <f>Inputs!X185*$I$12</f>
        <v>37.647749999999995</v>
      </c>
      <c r="Y69" s="70">
        <f>Inputs!Y185*$I$12</f>
        <v>37.647749999999995</v>
      </c>
      <c r="Z69" s="70">
        <f>Inputs!Z185*$I$12</f>
        <v>37.647749999999995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32.354700000000001</v>
      </c>
      <c r="P70" s="70">
        <f>Inputs!P186*$I$12</f>
        <v>32.34525</v>
      </c>
      <c r="Q70" s="70">
        <f>Inputs!Q186*$I$12</f>
        <v>32.368350000000007</v>
      </c>
      <c r="R70" s="70">
        <f>Inputs!R186*$I$12</f>
        <v>32.809350000000002</v>
      </c>
      <c r="S70" s="70">
        <f>Inputs!S186*$I$12</f>
        <v>32.9343</v>
      </c>
      <c r="T70" s="70">
        <f>Inputs!T186*$I$12</f>
        <v>33.984300000000005</v>
      </c>
      <c r="U70" s="70">
        <f>Inputs!U186*$I$12</f>
        <v>34.692</v>
      </c>
      <c r="V70" s="70">
        <f>Inputs!V186*$I$12</f>
        <v>34.692</v>
      </c>
      <c r="W70" s="70">
        <f>Inputs!W186*$I$12</f>
        <v>34.692</v>
      </c>
      <c r="X70" s="70">
        <f>Inputs!X186*$I$12</f>
        <v>34.692</v>
      </c>
      <c r="Y70" s="70">
        <f>Inputs!Y186*$I$12</f>
        <v>34.692</v>
      </c>
      <c r="Z70" s="70">
        <f>Inputs!Z186*$I$12</f>
        <v>34.692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33.0351</v>
      </c>
      <c r="P71" s="70">
        <f>Inputs!P187*$I$12</f>
        <v>33.134639999999997</v>
      </c>
      <c r="Q71" s="70">
        <f>Inputs!Q187*$I$12</f>
        <v>33.001500000000007</v>
      </c>
      <c r="R71" s="70">
        <f>Inputs!R187*$I$12</f>
        <v>33.439664999999998</v>
      </c>
      <c r="S71" s="70">
        <f>Inputs!S187*$I$12</f>
        <v>33.660690000000002</v>
      </c>
      <c r="T71" s="70">
        <f>Inputs!T187*$I$12</f>
        <v>34.641390000000001</v>
      </c>
      <c r="U71" s="70">
        <f>Inputs!U187*$I$12</f>
        <v>35.578724999999999</v>
      </c>
      <c r="V71" s="70">
        <f>Inputs!V187*$I$12</f>
        <v>35.578724999999999</v>
      </c>
      <c r="W71" s="70">
        <f>Inputs!W187*$I$12</f>
        <v>35.578724999999999</v>
      </c>
      <c r="X71" s="70">
        <f>Inputs!X187*$I$12</f>
        <v>35.578724999999999</v>
      </c>
      <c r="Y71" s="70">
        <f>Inputs!Y187*$I$12</f>
        <v>35.578724999999999</v>
      </c>
      <c r="Z71" s="70">
        <f>Inputs!Z187*$I$12</f>
        <v>35.578724999999999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141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142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143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16.525100000000002</v>
      </c>
      <c r="P78" s="70">
        <f t="shared" si="5"/>
        <v>16.624639999999999</v>
      </c>
      <c r="Q78" s="70">
        <f t="shared" si="5"/>
        <v>16.491500000000009</v>
      </c>
      <c r="R78" s="70">
        <f t="shared" si="5"/>
        <v>16.929665</v>
      </c>
      <c r="S78" s="70">
        <f t="shared" si="5"/>
        <v>17.150690000000004</v>
      </c>
      <c r="T78" s="70">
        <f t="shared" si="5"/>
        <v>18.131390000000003</v>
      </c>
      <c r="U78" s="70">
        <f t="shared" si="5"/>
        <v>19.068725000000001</v>
      </c>
      <c r="V78" s="70">
        <f t="shared" si="5"/>
        <v>19.068725000000001</v>
      </c>
      <c r="W78" s="70">
        <f t="shared" si="5"/>
        <v>19.068725000000001</v>
      </c>
      <c r="X78" s="70">
        <f t="shared" si="5"/>
        <v>19.068725000000001</v>
      </c>
      <c r="Y78" s="70">
        <f t="shared" si="5"/>
        <v>19.068725000000001</v>
      </c>
      <c r="Z78" s="70">
        <f t="shared" si="5"/>
        <v>19.068725000000001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144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16.525100000000002</v>
      </c>
      <c r="P79" s="70">
        <f t="shared" si="5"/>
        <v>16.624639999999999</v>
      </c>
      <c r="Q79" s="70">
        <f t="shared" si="5"/>
        <v>16.491500000000009</v>
      </c>
      <c r="R79" s="70">
        <f t="shared" si="5"/>
        <v>16.929665</v>
      </c>
      <c r="S79" s="70">
        <f t="shared" si="5"/>
        <v>17.150690000000004</v>
      </c>
      <c r="T79" s="70">
        <f t="shared" si="5"/>
        <v>18.131390000000003</v>
      </c>
      <c r="U79" s="70">
        <f t="shared" si="5"/>
        <v>19.068725000000001</v>
      </c>
      <c r="V79" s="70">
        <f t="shared" si="5"/>
        <v>19.068725000000001</v>
      </c>
      <c r="W79" s="70">
        <f t="shared" si="5"/>
        <v>19.068725000000001</v>
      </c>
      <c r="X79" s="70">
        <f t="shared" si="5"/>
        <v>19.068725000000001</v>
      </c>
      <c r="Y79" s="70">
        <f t="shared" si="5"/>
        <v>19.068725000000001</v>
      </c>
      <c r="Z79" s="70">
        <f t="shared" si="5"/>
        <v>19.068725000000001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145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16.525100000000002</v>
      </c>
      <c r="P80" s="70">
        <f t="shared" si="5"/>
        <v>16.624639999999999</v>
      </c>
      <c r="Q80" s="70">
        <f t="shared" si="5"/>
        <v>16.491500000000009</v>
      </c>
      <c r="R80" s="70">
        <f t="shared" si="5"/>
        <v>16.929665</v>
      </c>
      <c r="S80" s="70">
        <f t="shared" si="5"/>
        <v>17.150690000000004</v>
      </c>
      <c r="T80" s="70">
        <f t="shared" si="5"/>
        <v>18.131390000000003</v>
      </c>
      <c r="U80" s="70">
        <f t="shared" si="5"/>
        <v>19.068725000000001</v>
      </c>
      <c r="V80" s="70">
        <f t="shared" si="5"/>
        <v>19.068725000000001</v>
      </c>
      <c r="W80" s="70">
        <f t="shared" si="5"/>
        <v>19.068725000000001</v>
      </c>
      <c r="X80" s="70">
        <f t="shared" si="5"/>
        <v>19.068725000000001</v>
      </c>
      <c r="Y80" s="70">
        <f t="shared" si="5"/>
        <v>19.068725000000001</v>
      </c>
      <c r="Z80" s="70">
        <f t="shared" si="5"/>
        <v>19.068725000000001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164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165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166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167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165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93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0.5</v>
      </c>
      <c r="V95" s="70">
        <f t="shared" si="13"/>
        <v>0.5</v>
      </c>
      <c r="W95" s="70">
        <f t="shared" si="13"/>
        <v>0.5</v>
      </c>
      <c r="X95" s="70">
        <f t="shared" si="13"/>
        <v>0.5</v>
      </c>
      <c r="Y95" s="70">
        <f t="shared" si="13"/>
        <v>0.5</v>
      </c>
      <c r="Z95" s="70">
        <f t="shared" si="13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2.5</v>
      </c>
      <c r="V96" s="93">
        <f t="shared" si="14"/>
        <v>2.5</v>
      </c>
      <c r="W96" s="93">
        <f t="shared" si="14"/>
        <v>2.5</v>
      </c>
      <c r="X96" s="93">
        <f t="shared" si="14"/>
        <v>2.5</v>
      </c>
      <c r="Y96" s="93">
        <f t="shared" si="14"/>
        <v>2.5</v>
      </c>
      <c r="Z96" s="93">
        <f t="shared" si="14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0.5</v>
      </c>
      <c r="V98" s="70">
        <f t="shared" si="15"/>
        <v>0.5</v>
      </c>
      <c r="W98" s="70">
        <f t="shared" si="15"/>
        <v>0.5</v>
      </c>
      <c r="X98" s="70">
        <f t="shared" si="15"/>
        <v>0.5</v>
      </c>
      <c r="Y98" s="70">
        <f t="shared" si="15"/>
        <v>0.5</v>
      </c>
      <c r="Z98" s="70">
        <f t="shared" si="15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2.5</v>
      </c>
      <c r="V99" s="93">
        <f t="shared" si="16"/>
        <v>2.5</v>
      </c>
      <c r="W99" s="93">
        <f t="shared" si="16"/>
        <v>2.5</v>
      </c>
      <c r="X99" s="93">
        <f t="shared" si="16"/>
        <v>2.5</v>
      </c>
      <c r="Y99" s="93">
        <f t="shared" si="16"/>
        <v>2.5</v>
      </c>
      <c r="Z99" s="93">
        <f t="shared" si="16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168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438144.75072260486</v>
      </c>
      <c r="P103" s="138">
        <f>IF(Inputs!$J$126&gt;0,P71*Inputs!$M$81/Inputs!$M$80*Inputs!$M$75*Inputs!$J$126,P77*Inputs!$M$75*P90*Inputs!$J$123)*$I$13</f>
        <v>439464.95040375995</v>
      </c>
      <c r="Q103" s="138">
        <f>IF(Inputs!$J$126&gt;0,Q71*Inputs!$M$81/Inputs!$M$80*Inputs!$M$75*Inputs!$J$126,Q77*Inputs!$M$75*Q90*Inputs!$J$123)*$I$13</f>
        <v>437699.11369943019</v>
      </c>
      <c r="R103" s="138">
        <f>IF(Inputs!$J$126&gt;0,R71*Inputs!$M$81/Inputs!$M$80*Inputs!$M$75*Inputs!$J$126,R77*Inputs!$M$75*R90*Inputs!$J$123)*$I$13</f>
        <v>443510.49900476803</v>
      </c>
      <c r="S103" s="138">
        <f>IF(Inputs!$J$126&gt;0,S71*Inputs!$M$81/Inputs!$M$80*Inputs!$M$75*Inputs!$J$126,S77*Inputs!$M$75*S90*Inputs!$J$123)*$I$13</f>
        <v>446441.95504783938</v>
      </c>
      <c r="T103" s="138">
        <f>IF(Inputs!$J$126&gt;0,T71*Inputs!$M$81/Inputs!$M$80*Inputs!$M$75*Inputs!$J$126,T77*Inputs!$M$75*T90*Inputs!$J$123)*$I$13</f>
        <v>459448.98566175177</v>
      </c>
      <c r="U103" s="138">
        <f>IF(Inputs!$J$126&gt;0,U71*Inputs!$M$81/Inputs!$M$80*Inputs!$M$75*Inputs!$J$126,U77*Inputs!$M$75*U90*Inputs!$J$123)*$I$13</f>
        <v>471880.86599262932</v>
      </c>
      <c r="V103" s="138">
        <f>IF(Inputs!$J$126&gt;0,V71*Inputs!$M$81/Inputs!$M$80*Inputs!$M$75*Inputs!$J$126,V77*Inputs!$M$75*V90*Inputs!$J$123)*$I$13</f>
        <v>471880.86599262932</v>
      </c>
      <c r="W103" s="138">
        <f>IF(Inputs!$J$126&gt;0,W71*Inputs!$M$81/Inputs!$M$80*Inputs!$M$75*Inputs!$J$126,W77*Inputs!$M$75*W90*Inputs!$J$123)*$I$13</f>
        <v>471880.86599262932</v>
      </c>
      <c r="X103" s="138">
        <f>IF(Inputs!$J$126&gt;0,X71*Inputs!$M$81/Inputs!$M$80*Inputs!$M$75*Inputs!$J$126,X77*Inputs!$M$75*X90*Inputs!$J$123)*$I$13</f>
        <v>471880.86599262932</v>
      </c>
      <c r="Y103" s="138">
        <f>IF(Inputs!$J$126&gt;0,Y71*Inputs!$M$81/Inputs!$M$80*Inputs!$M$75*Inputs!$J$126,Y77*Inputs!$M$75*Y90*Inputs!$J$123)*$I$13</f>
        <v>471880.86599262932</v>
      </c>
      <c r="Z103" s="138">
        <f>IF(Inputs!$J$126&gt;0,Z71*Inputs!$M$81/Inputs!$M$80*Inputs!$M$75*Inputs!$J$126,Z77*Inputs!$M$75*Z90*Inputs!$J$123)*$I$13</f>
        <v>471880.86599262932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26300701.327374041</v>
      </c>
      <c r="P105" s="70">
        <f>P78*Inputs!$M$75*IF(Inputs!$M$126&gt;0,Inputs!$M$126,P93*Inputs!$J$123)*$I$13</f>
        <v>26459125.28911265</v>
      </c>
      <c r="Q105" s="70">
        <f>Q78*Inputs!$M$75*IF(Inputs!$M$126&gt;0,Inputs!$M$126,Q93*Inputs!$J$123)*$I$13</f>
        <v>26247224.884593084</v>
      </c>
      <c r="R105" s="70">
        <f>R78*Inputs!$M$75*IF(Inputs!$M$126&gt;0,Inputs!$M$126,R93*Inputs!$J$123)*$I$13</f>
        <v>26944591.121233627</v>
      </c>
      <c r="S105" s="70">
        <f>S78*Inputs!$M$75*IF(Inputs!$M$126&gt;0,Inputs!$M$126,S93*Inputs!$J$123)*$I$13</f>
        <v>27296365.846402183</v>
      </c>
      <c r="T105" s="70">
        <f>T78*Inputs!$M$75*IF(Inputs!$M$126&gt;0,Inputs!$M$126,T93*Inputs!$J$123)*$I$13</f>
        <v>28857209.520071674</v>
      </c>
      <c r="U105" s="70">
        <f>U78*Inputs!$M$75*IF(Inputs!$M$126&gt;0,Inputs!$M$126,U93*Inputs!$J$123)*$I$13</f>
        <v>30349035.159776974</v>
      </c>
      <c r="V105" s="70">
        <f>V78*Inputs!$M$75*IF(Inputs!$M$126&gt;0,Inputs!$M$126,V93*Inputs!$J$123)*$I$13</f>
        <v>30349035.159776974</v>
      </c>
      <c r="W105" s="70">
        <f>W78*Inputs!$M$75*IF(Inputs!$M$126&gt;0,Inputs!$M$126,W93*Inputs!$J$123)*$I$13</f>
        <v>30349035.159776974</v>
      </c>
      <c r="X105" s="70">
        <f>X78*Inputs!$M$75*IF(Inputs!$M$126&gt;0,Inputs!$M$126,X93*Inputs!$J$123)*$I$13</f>
        <v>30349035.159776974</v>
      </c>
      <c r="Y105" s="70">
        <f>Y78*Inputs!$M$75*IF(Inputs!$M$126&gt;0,Inputs!$M$126,Y93*Inputs!$J$123)*$I$13</f>
        <v>30349035.159776974</v>
      </c>
      <c r="Z105" s="70">
        <f>Z78*Inputs!$M$75*IF(Inputs!$M$126&gt;0,Inputs!$M$126,Z93*Inputs!$J$123)*$I$13</f>
        <v>30349035.159776974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26300701.327374041</v>
      </c>
      <c r="P106" s="70">
        <f>P79*Inputs!$M$75*IF(Inputs!$M$126&gt;0,Inputs!$M$126,P96*Inputs!$J$123)*$I$13</f>
        <v>26459125.28911265</v>
      </c>
      <c r="Q106" s="70">
        <f>Q79*Inputs!$M$75*IF(Inputs!$M$126&gt;0,Inputs!$M$126,Q96*Inputs!$J$123)*$I$13</f>
        <v>26247224.884593084</v>
      </c>
      <c r="R106" s="70">
        <f>R79*Inputs!$M$75*IF(Inputs!$M$126&gt;0,Inputs!$M$126,R96*Inputs!$J$123)*$I$13</f>
        <v>26944591.121233627</v>
      </c>
      <c r="S106" s="70">
        <f>S79*Inputs!$M$75*IF(Inputs!$M$126&gt;0,Inputs!$M$126,S96*Inputs!$J$123)*$I$13</f>
        <v>27296365.846402183</v>
      </c>
      <c r="T106" s="70">
        <f>T79*Inputs!$M$75*IF(Inputs!$M$126&gt;0,Inputs!$M$126,T96*Inputs!$J$123)*$I$13</f>
        <v>28857209.520071674</v>
      </c>
      <c r="U106" s="70">
        <f>U79*Inputs!$M$75*IF(Inputs!$M$126&gt;0,Inputs!$M$126,U96*Inputs!$J$123)*$I$13</f>
        <v>30349035.159776974</v>
      </c>
      <c r="V106" s="70">
        <f>V79*Inputs!$M$75*IF(Inputs!$M$126&gt;0,Inputs!$M$126,V96*Inputs!$J$123)*$I$13</f>
        <v>30349035.159776974</v>
      </c>
      <c r="W106" s="70">
        <f>W79*Inputs!$M$75*IF(Inputs!$M$126&gt;0,Inputs!$M$126,W96*Inputs!$J$123)*$I$13</f>
        <v>30349035.159776974</v>
      </c>
      <c r="X106" s="70">
        <f>X79*Inputs!$M$75*IF(Inputs!$M$126&gt;0,Inputs!$M$126,X96*Inputs!$J$123)*$I$13</f>
        <v>30349035.159776974</v>
      </c>
      <c r="Y106" s="70">
        <f>Y79*Inputs!$M$75*IF(Inputs!$M$126&gt;0,Inputs!$M$126,Y96*Inputs!$J$123)*$I$13</f>
        <v>30349035.159776974</v>
      </c>
      <c r="Z106" s="70">
        <f>Z79*Inputs!$M$75*IF(Inputs!$M$126&gt;0,Inputs!$M$126,Z96*Inputs!$J$123)*$I$13</f>
        <v>30349035.159776974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26300701.327374041</v>
      </c>
      <c r="P107" s="70">
        <f>P80*Inputs!$M$75*IF(Inputs!$M$126&gt;0,Inputs!$M$126,P99*Inputs!$J$123)*$I$13</f>
        <v>26459125.28911265</v>
      </c>
      <c r="Q107" s="70">
        <f>Q80*Inputs!$M$75*IF(Inputs!$M$126&gt;0,Inputs!$M$126,Q99*Inputs!$J$123)*$I$13</f>
        <v>26247224.884593084</v>
      </c>
      <c r="R107" s="70">
        <f>R80*Inputs!$M$75*IF(Inputs!$M$126&gt;0,Inputs!$M$126,R99*Inputs!$J$123)*$I$13</f>
        <v>26944591.121233627</v>
      </c>
      <c r="S107" s="70">
        <f>S80*Inputs!$M$75*IF(Inputs!$M$126&gt;0,Inputs!$M$126,S99*Inputs!$J$123)*$I$13</f>
        <v>27296365.846402183</v>
      </c>
      <c r="T107" s="70">
        <f>T80*Inputs!$M$75*IF(Inputs!$M$126&gt;0,Inputs!$M$126,T99*Inputs!$J$123)*$I$13</f>
        <v>28857209.520071674</v>
      </c>
      <c r="U107" s="70">
        <f>U80*Inputs!$M$75*IF(Inputs!$M$126&gt;0,Inputs!$M$126,U99*Inputs!$J$123)*$I$13</f>
        <v>30349035.159776974</v>
      </c>
      <c r="V107" s="70">
        <f>V80*Inputs!$M$75*IF(Inputs!$M$126&gt;0,Inputs!$M$126,V99*Inputs!$J$123)*$I$13</f>
        <v>30349035.159776974</v>
      </c>
      <c r="W107" s="70">
        <f>W80*Inputs!$M$75*IF(Inputs!$M$126&gt;0,Inputs!$M$126,W99*Inputs!$J$123)*$I$13</f>
        <v>30349035.159776974</v>
      </c>
      <c r="X107" s="70">
        <f>X80*Inputs!$M$75*IF(Inputs!$M$126&gt;0,Inputs!$M$126,X99*Inputs!$J$123)*$I$13</f>
        <v>30349035.159776974</v>
      </c>
      <c r="Y107" s="70">
        <f>Y80*Inputs!$M$75*IF(Inputs!$M$126&gt;0,Inputs!$M$126,Y99*Inputs!$J$123)*$I$13</f>
        <v>30349035.159776974</v>
      </c>
      <c r="Z107" s="70">
        <f>Z80*Inputs!$M$75*IF(Inputs!$M$126&gt;0,Inputs!$M$126,Z99*Inputs!$J$123)*$I$13</f>
        <v>30349035.159776974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169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170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5.4658729562161862E-2</v>
      </c>
      <c r="P114" s="56">
        <f>Inputs!P64*$I$9</f>
        <v>5.8632157711231057E-2</v>
      </c>
      <c r="Q114" s="56">
        <f>Inputs!Q64*$I$9</f>
        <v>6.2930349394156676E-2</v>
      </c>
      <c r="R114" s="56">
        <f>Inputs!R64*$I$9</f>
        <v>6.7581266650433763E-2</v>
      </c>
      <c r="S114" s="56">
        <f>Inputs!S64*$I$9</f>
        <v>7.2615355373722282E-2</v>
      </c>
      <c r="T114" s="56">
        <f>Inputs!T64*$I$9</f>
        <v>7.8065770321947503E-2</v>
      </c>
      <c r="U114" s="56">
        <f>Inputs!U64*$I$9</f>
        <v>8.3968620772291711E-2</v>
      </c>
      <c r="V114" s="56">
        <f>Inputs!V64*$I$9</f>
        <v>9.0363238731277801E-2</v>
      </c>
      <c r="W114" s="56">
        <f>Inputs!W64*$I$9</f>
        <v>9.7292471787878657E-2</v>
      </c>
      <c r="X114" s="56">
        <f>Inputs!X64*$I$9</f>
        <v>0.10480300289192103</v>
      </c>
      <c r="Y114" s="56">
        <f>Inputs!Y64*$I$9</f>
        <v>0.11294569955253841</v>
      </c>
      <c r="Z114" s="56">
        <f>Inputs!Z64*$I$9</f>
        <v>0.12172104515524008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6.0731921735735408E-3</v>
      </c>
      <c r="P115" s="56">
        <f>Inputs!P65*$I$9</f>
        <v>6.5146841901367837E-3</v>
      </c>
      <c r="Q115" s="56">
        <f>Inputs!Q65*$I$9</f>
        <v>6.9922610437951876E-3</v>
      </c>
      <c r="R115" s="56">
        <f>Inputs!R65*$I$9</f>
        <v>7.5090296278259748E-3</v>
      </c>
      <c r="S115" s="56">
        <f>Inputs!S65*$I$9</f>
        <v>8.0683728193024773E-3</v>
      </c>
      <c r="T115" s="56">
        <f>Inputs!T65*$I$9</f>
        <v>8.6739744802163902E-3</v>
      </c>
      <c r="U115" s="56">
        <f>Inputs!U65*$I$9</f>
        <v>9.3298467524768596E-3</v>
      </c>
      <c r="V115" s="56">
        <f>Inputs!V65*$I$9</f>
        <v>1.0040359859030868E-2</v>
      </c>
      <c r="W115" s="56">
        <f>Inputs!W65*$I$9</f>
        <v>1.0810274643097631E-2</v>
      </c>
      <c r="X115" s="56">
        <f>Inputs!X65*$I$9</f>
        <v>1.1644778099102337E-2</v>
      </c>
      <c r="Y115" s="56">
        <f>Inputs!Y65*$I$9</f>
        <v>1.254952217250427E-2</v>
      </c>
      <c r="Z115" s="56">
        <f>Inputs!Z65*$I$9</f>
        <v>1.3524560572804456E-2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171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23948.435438827681</v>
      </c>
      <c r="P119" s="70">
        <f t="shared" ref="P119:Z119" si="17">P103*P114*$T$37</f>
        <v>25766.778280631588</v>
      </c>
      <c r="Q119" s="70">
        <f t="shared" si="17"/>
        <v>27544.558154617851</v>
      </c>
      <c r="R119" s="70">
        <f t="shared" si="17"/>
        <v>29973.001295508166</v>
      </c>
      <c r="S119" s="70">
        <f t="shared" si="17"/>
        <v>32418.541219538205</v>
      </c>
      <c r="T119" s="70">
        <f t="shared" si="17"/>
        <v>35867.238989322068</v>
      </c>
      <c r="U119" s="70">
        <f t="shared" si="17"/>
        <v>39623.185486235692</v>
      </c>
      <c r="V119" s="70">
        <f t="shared" si="17"/>
        <v>42640.683346414073</v>
      </c>
      <c r="W119" s="70">
        <f t="shared" si="17"/>
        <v>45910.455841827636</v>
      </c>
      <c r="X119" s="70">
        <f t="shared" si="17"/>
        <v>49454.531763267732</v>
      </c>
      <c r="Y119" s="70">
        <f t="shared" si="17"/>
        <v>53296.914514995151</v>
      </c>
      <c r="Z119" s="70">
        <f t="shared" si="17"/>
        <v>57437.832197382631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O105*O115*$T$27+IF(Inputs!$K$126=0,O103*O115*$T$27,0)</f>
        <v>162390.15073188412</v>
      </c>
      <c r="P120" s="138">
        <f>P105*P115*$T$27+IF(Inputs!$K$126=0,P103*P115*$T$27,0)</f>
        <v>175235.82057034515</v>
      </c>
      <c r="Q120" s="138">
        <f>Q105*Q115*$T$27+IF(Inputs!$K$126=0,Q103*Q115*$T$27,0)</f>
        <v>186587.95452989606</v>
      </c>
      <c r="R120" s="138">
        <f>R105*R115*$T$27+IF(Inputs!$K$126=0,R103*R115*$T$27,0)</f>
        <v>205658.06651627869</v>
      </c>
      <c r="S120" s="138">
        <f>S105*S115*$T$27+IF(Inputs!$K$126=0,S103*S115*$T$27,0)</f>
        <v>223839.31639635211</v>
      </c>
      <c r="T120" s="138">
        <f>T105*T115*$T$27+IF(Inputs!$K$126=0,T103*T115*$T$27,0)</f>
        <v>254291.94772395052</v>
      </c>
      <c r="U120" s="138">
        <f>U105*U115*$T$27+IF(Inputs!$K$126=0,U103*U115*$T$27,0)</f>
        <v>287554.42329138855</v>
      </c>
      <c r="V120" s="138">
        <f>V105*V115*$T$27+IF(Inputs!$K$126=0,V103*V115*$T$27,0)</f>
        <v>309453.0880836983</v>
      </c>
      <c r="W120" s="138">
        <f>W105*W115*$T$27+IF(Inputs!$K$126=0,W103*W115*$T$27,0)</f>
        <v>333182.56699041853</v>
      </c>
      <c r="X120" s="138">
        <f>X105*X115*$T$27+IF(Inputs!$K$126=0,X103*X115*$T$27,0)</f>
        <v>358902.72793115414</v>
      </c>
      <c r="Y120" s="138">
        <f>Y105*Y115*$T$27+IF(Inputs!$K$126=0,Y103*Y115*$T$27,0)</f>
        <v>386787.76904228784</v>
      </c>
      <c r="Z120" s="138">
        <f>Z105*Z115*$T$27+IF(Inputs!$K$126=0,Z103*Z115*$T$27,0)</f>
        <v>416839.34569984057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0">P107*P116*$T$17</f>
        <v>0</v>
      </c>
      <c r="Q121" s="70">
        <f t="shared" si="20"/>
        <v>0</v>
      </c>
      <c r="R121" s="70">
        <f t="shared" si="20"/>
        <v>0</v>
      </c>
      <c r="S121" s="70">
        <f t="shared" si="20"/>
        <v>0</v>
      </c>
      <c r="T121" s="70">
        <f t="shared" si="20"/>
        <v>0</v>
      </c>
      <c r="U121" s="70">
        <f t="shared" si="20"/>
        <v>0</v>
      </c>
      <c r="V121" s="70">
        <f t="shared" si="20"/>
        <v>0</v>
      </c>
      <c r="W121" s="70">
        <f t="shared" si="20"/>
        <v>0</v>
      </c>
      <c r="X121" s="70">
        <f t="shared" si="20"/>
        <v>0</v>
      </c>
      <c r="Y121" s="70">
        <f t="shared" si="20"/>
        <v>0</v>
      </c>
      <c r="Z121" s="70">
        <f t="shared" si="20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189</v>
      </c>
      <c r="E122" s="51"/>
      <c r="F122" s="51"/>
      <c r="G122" s="51"/>
      <c r="H122" s="51"/>
      <c r="I122" s="51"/>
      <c r="J122" s="139" t="str">
        <f>J119</f>
        <v>Significant</v>
      </c>
      <c r="K122" s="51"/>
      <c r="L122" s="51"/>
      <c r="M122" s="51"/>
      <c r="N122" s="51"/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0</v>
      </c>
      <c r="Z122" s="117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172</v>
      </c>
      <c r="E124" s="51"/>
      <c r="F124" s="51"/>
      <c r="G124" s="51"/>
      <c r="H124" s="51"/>
      <c r="I124" s="51"/>
      <c r="J124" s="139" t="str">
        <f>J119</f>
        <v>Significant</v>
      </c>
      <c r="K124" s="51"/>
      <c r="L124" s="51"/>
      <c r="M124" s="51"/>
      <c r="N124" s="51"/>
      <c r="O124" s="88">
        <f t="shared" ref="O124:Z124" si="21">SUMIF($J$49:$J$51,$J124,$V$49:$V$51)*O114</f>
        <v>7028.9806254672285</v>
      </c>
      <c r="P124" s="88">
        <f t="shared" si="21"/>
        <v>7539.9538899433164</v>
      </c>
      <c r="Q124" s="88">
        <f t="shared" si="21"/>
        <v>8092.6909605967676</v>
      </c>
      <c r="R124" s="88">
        <f t="shared" si="21"/>
        <v>8690.7876881806769</v>
      </c>
      <c r="S124" s="88">
        <f t="shared" si="21"/>
        <v>9338.1593410954447</v>
      </c>
      <c r="T124" s="88">
        <f t="shared" si="21"/>
        <v>10039.069541144316</v>
      </c>
      <c r="U124" s="88">
        <f t="shared" si="21"/>
        <v>10798.161854172071</v>
      </c>
      <c r="V124" s="88">
        <f t="shared" si="21"/>
        <v>11620.494281234071</v>
      </c>
      <c r="W124" s="88">
        <f t="shared" si="21"/>
        <v>12511.57691879891</v>
      </c>
      <c r="X124" s="88">
        <f t="shared" si="21"/>
        <v>13477.413081478921</v>
      </c>
      <c r="Y124" s="88">
        <f t="shared" si="21"/>
        <v>14524.544208107918</v>
      </c>
      <c r="Z124" s="88">
        <f t="shared" si="21"/>
        <v>15653.032460895063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173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158928.98635504383</v>
      </c>
      <c r="P125" s="70">
        <f t="shared" si="22"/>
        <v>170482.36333882433</v>
      </c>
      <c r="Q125" s="70">
        <f t="shared" si="22"/>
        <v>182980.04216888515</v>
      </c>
      <c r="R125" s="70">
        <f t="shared" si="22"/>
        <v>196503.3269411861</v>
      </c>
      <c r="S125" s="70">
        <f t="shared" si="22"/>
        <v>211140.74395439553</v>
      </c>
      <c r="T125" s="70">
        <f t="shared" si="22"/>
        <v>226988.69596269596</v>
      </c>
      <c r="U125" s="70">
        <f t="shared" si="22"/>
        <v>244152.17645690881</v>
      </c>
      <c r="V125" s="70">
        <f t="shared" si="22"/>
        <v>262745.54952815111</v>
      </c>
      <c r="W125" s="70">
        <f t="shared" si="22"/>
        <v>282893.40138502623</v>
      </c>
      <c r="X125" s="70">
        <f t="shared" si="22"/>
        <v>304731.47016040795</v>
      </c>
      <c r="Y125" s="70">
        <f t="shared" si="22"/>
        <v>328407.66126171715</v>
      </c>
      <c r="Z125" s="70">
        <f t="shared" si="22"/>
        <v>353923.38020952884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174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175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51750.214513274346</v>
      </c>
      <c r="P127" s="70">
        <f>Inputs!$J$27*$I$11</f>
        <v>51750.214513274346</v>
      </c>
      <c r="Q127" s="70">
        <f>Inputs!$J$27*$I$11</f>
        <v>51750.214513274346</v>
      </c>
      <c r="R127" s="70">
        <f>Inputs!$J$27*$I$11</f>
        <v>51750.214513274346</v>
      </c>
      <c r="S127" s="70">
        <f>Inputs!$J$27*$I$11</f>
        <v>51750.214513274346</v>
      </c>
      <c r="T127" s="70">
        <f>Inputs!$J$27*$I$11</f>
        <v>51750.214513274346</v>
      </c>
      <c r="U127" s="70">
        <f>Inputs!$J$27*$I$11</f>
        <v>51750.214513274346</v>
      </c>
      <c r="V127" s="70">
        <f>Inputs!$J$27*$I$11</f>
        <v>51750.214513274346</v>
      </c>
      <c r="W127" s="70">
        <f>Inputs!$J$27*$I$11</f>
        <v>51750.214513274346</v>
      </c>
      <c r="X127" s="70">
        <f>Inputs!$J$27*$I$11</f>
        <v>51750.214513274346</v>
      </c>
      <c r="Y127" s="70">
        <f>Inputs!$J$27*$I$11</f>
        <v>51750.214513274346</v>
      </c>
      <c r="Z127" s="70">
        <f>Inputs!$J$27*$I$11</f>
        <v>51750.214513274346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163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404046.76766449725</v>
      </c>
      <c r="P128" s="98">
        <f t="shared" ref="P128:Z128" si="24">SUM(P119:P127)</f>
        <v>430775.13059301872</v>
      </c>
      <c r="Q128" s="98">
        <f t="shared" si="24"/>
        <v>456955.46032727021</v>
      </c>
      <c r="R128" s="98">
        <f t="shared" si="24"/>
        <v>492575.39695442806</v>
      </c>
      <c r="S128" s="98">
        <f t="shared" si="24"/>
        <v>528486.9754246556</v>
      </c>
      <c r="T128" s="98">
        <f t="shared" si="24"/>
        <v>578937.16673038725</v>
      </c>
      <c r="U128" s="98">
        <f t="shared" si="24"/>
        <v>633878.16160197952</v>
      </c>
      <c r="V128" s="98">
        <f t="shared" si="24"/>
        <v>678210.02975277184</v>
      </c>
      <c r="W128" s="98">
        <f t="shared" si="24"/>
        <v>726248.21564934566</v>
      </c>
      <c r="X128" s="98">
        <f t="shared" si="24"/>
        <v>778316.35744958313</v>
      </c>
      <c r="Y128" s="98">
        <f t="shared" si="24"/>
        <v>834767.10354038246</v>
      </c>
      <c r="Z128" s="98">
        <f t="shared" si="24"/>
        <v>895603.80508092151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176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177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178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C'!$I$10</f>
        <v>0</v>
      </c>
      <c r="P135" s="70">
        <f>Inputs!P22*'Scenario C'!$I$10</f>
        <v>0</v>
      </c>
      <c r="Q135" s="70">
        <f>Inputs!Q22*'Scenario C'!$I$10</f>
        <v>85490.442477876117</v>
      </c>
      <c r="R135" s="70">
        <f>Inputs!R22*'Scenario C'!$I$10</f>
        <v>2506693.7607079647</v>
      </c>
      <c r="S135" s="70">
        <f>Inputs!S22*'Scenario C'!$I$10</f>
        <v>6691867.13557762</v>
      </c>
      <c r="T135" s="70">
        <f>Inputs!T22*'Scenario C'!$I$10</f>
        <v>0</v>
      </c>
      <c r="U135" s="70">
        <f>Inputs!U22*'Scenario C'!$I$10</f>
        <v>0</v>
      </c>
      <c r="V135" s="70">
        <f>Inputs!V22*'Scenario C'!$I$10</f>
        <v>0</v>
      </c>
      <c r="W135" s="70">
        <f>Inputs!W22*'Scenario C'!$I$10</f>
        <v>0</v>
      </c>
      <c r="X135" s="70">
        <f>Inputs!X22*'Scenario C'!$I$10</f>
        <v>0</v>
      </c>
      <c r="Y135" s="70">
        <f>Inputs!Y22*'Scenario C'!$I$10</f>
        <v>0</v>
      </c>
      <c r="Z135" s="70">
        <f>Inputs!Z22*'Scenario C'!$I$10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179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1</v>
      </c>
      <c r="R136" s="70">
        <f t="shared" si="25"/>
        <v>1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180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1.0557562500000002</v>
      </c>
      <c r="R137" s="56">
        <f>(R136=1)*(1+Inputs!$J$11)^(SUM(R136:$Z136)-1)</f>
        <v>1.0275000000000001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181</v>
      </c>
      <c r="E138" s="51"/>
      <c r="F138" s="51"/>
      <c r="G138" s="51"/>
      <c r="H138" s="51"/>
      <c r="I138" s="51"/>
      <c r="J138" s="70">
        <f>PMT(Inputs!$J$11,Inputs!$J$12,-SUMPRODUCT('Scenario C'!O135:Z135,'Scenario C'!O137:Z137),0,0)</f>
        <v>346619.74016337795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182</v>
      </c>
      <c r="E139" s="51"/>
      <c r="F139" s="51"/>
      <c r="G139" s="51"/>
      <c r="H139" s="51"/>
      <c r="I139" s="51"/>
      <c r="J139" s="70">
        <f>Inputs!K27*$I$11</f>
        <v>22911.438584070802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183</v>
      </c>
      <c r="E140" s="51"/>
      <c r="F140" s="51"/>
      <c r="G140" s="51"/>
      <c r="H140" s="51"/>
      <c r="I140" s="51"/>
      <c r="J140" s="70">
        <f>SUM(J138:J139)</f>
        <v>369531.17874744878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184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185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186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404046.76766449725</v>
      </c>
      <c r="P147" s="70">
        <f t="shared" ref="P147:Z147" si="27">P128</f>
        <v>430775.13059301872</v>
      </c>
      <c r="Q147" s="70">
        <f t="shared" si="27"/>
        <v>456955.46032727021</v>
      </c>
      <c r="R147" s="70">
        <f t="shared" si="27"/>
        <v>492575.39695442806</v>
      </c>
      <c r="S147" s="70">
        <f t="shared" si="27"/>
        <v>528486.9754246556</v>
      </c>
      <c r="T147" s="70">
        <f t="shared" si="27"/>
        <v>578937.16673038725</v>
      </c>
      <c r="U147" s="70">
        <f t="shared" si="27"/>
        <v>633878.16160197952</v>
      </c>
      <c r="V147" s="70">
        <f t="shared" si="27"/>
        <v>678210.02975277184</v>
      </c>
      <c r="W147" s="70">
        <f t="shared" si="27"/>
        <v>726248.21564934566</v>
      </c>
      <c r="X147" s="70">
        <f t="shared" si="27"/>
        <v>778316.35744958313</v>
      </c>
      <c r="Y147" s="70">
        <f t="shared" si="27"/>
        <v>834767.10354038246</v>
      </c>
      <c r="Z147" s="70">
        <f t="shared" si="27"/>
        <v>895603.80508092151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176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369531.17874744878</v>
      </c>
      <c r="P148" s="70">
        <f t="shared" ref="P148:Z148" si="28">$J$140</f>
        <v>369531.17874744878</v>
      </c>
      <c r="Q148" s="70">
        <f t="shared" si="28"/>
        <v>369531.17874744878</v>
      </c>
      <c r="R148" s="70">
        <f t="shared" si="28"/>
        <v>369531.17874744878</v>
      </c>
      <c r="S148" s="70">
        <f t="shared" si="28"/>
        <v>369531.17874744878</v>
      </c>
      <c r="T148" s="70">
        <f t="shared" si="28"/>
        <v>369531.17874744878</v>
      </c>
      <c r="U148" s="70">
        <f t="shared" si="28"/>
        <v>369531.17874744878</v>
      </c>
      <c r="V148" s="70">
        <f t="shared" si="28"/>
        <v>369531.17874744878</v>
      </c>
      <c r="W148" s="70">
        <f t="shared" si="28"/>
        <v>369531.17874744878</v>
      </c>
      <c r="X148" s="70">
        <f t="shared" si="28"/>
        <v>369531.17874744878</v>
      </c>
      <c r="Y148" s="70">
        <f t="shared" si="28"/>
        <v>369531.17874744878</v>
      </c>
      <c r="Z148" s="70">
        <f t="shared" si="28"/>
        <v>369531.17874744878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187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147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Inputs!$D$64:$D$66</xm:f>
          </x14:formula1>
          <xm:sqref>J17:J46 J49:J51</xm:sqref>
        </x14:dataValidation>
        <x14:dataValidation type="list" allowBlank="1" showInputMessage="1" showErrorMessage="1">
          <x14:formula1>
            <xm:f>Inputs!$D$44:$D$48</xm:f>
          </x14:formula1>
          <xm:sqref>I8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81"/>
  <sheetViews>
    <sheetView showGridLines="0" zoomScale="90" zoomScaleNormal="90" workbookViewId="0">
      <selection activeCell="K17" sqref="K17:K46"/>
    </sheetView>
  </sheetViews>
  <sheetFormatPr defaultColWidth="0" defaultRowHeight="12.75" zeroHeight="1" x14ac:dyDescent="0.2"/>
  <cols>
    <col min="1" max="8" width="3.125" style="44" customWidth="1"/>
    <col min="9" max="9" width="16.25" style="44" customWidth="1"/>
    <col min="10" max="26" width="12.5" style="44" customWidth="1"/>
    <col min="27" max="27" width="3" style="44" customWidth="1"/>
    <col min="28" max="57" width="0.625" style="44" customWidth="1"/>
    <col min="58" max="16384" width="9" style="44" hidden="1"/>
  </cols>
  <sheetData>
    <row r="1" spans="1:57" x14ac:dyDescent="0.2">
      <c r="A1" s="41" t="str">
        <f>Inputs!A1</f>
        <v>CitiPower - B Switchboard Risk Monetisation Model</v>
      </c>
      <c r="B1" s="41"/>
      <c r="C1" s="42"/>
      <c r="D1" s="43"/>
      <c r="E1" s="43"/>
      <c r="F1" s="43"/>
      <c r="G1" s="43"/>
      <c r="H1" s="43"/>
      <c r="I1" s="43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</row>
    <row r="2" spans="1:57" x14ac:dyDescent="0.2">
      <c r="A2" s="45" t="str">
        <f ca="1">RIGHT(CELL("filename", $A$1), LEN(CELL("filename", $A$1)) - SEARCH("]", CELL("filename", $A$1)))</f>
        <v>Scenario D</v>
      </c>
      <c r="B2" s="45"/>
      <c r="C2" s="46"/>
      <c r="D2" s="47"/>
      <c r="E2" s="47"/>
      <c r="F2" s="47"/>
      <c r="G2" s="47"/>
      <c r="H2" s="47"/>
      <c r="I2" s="47"/>
      <c r="J2" s="45"/>
      <c r="K2" s="45"/>
      <c r="L2" s="45"/>
      <c r="M2" s="45"/>
      <c r="N2" s="45"/>
      <c r="O2" s="48">
        <f>Inputs!O2</f>
        <v>2019</v>
      </c>
      <c r="P2" s="48">
        <f>Inputs!P2</f>
        <v>2020</v>
      </c>
      <c r="Q2" s="48">
        <f>Inputs!Q2</f>
        <v>2021</v>
      </c>
      <c r="R2" s="48">
        <f>Inputs!R2</f>
        <v>2022</v>
      </c>
      <c r="S2" s="48">
        <f>Inputs!S2</f>
        <v>2023</v>
      </c>
      <c r="T2" s="48">
        <f>Inputs!T2</f>
        <v>2024</v>
      </c>
      <c r="U2" s="48">
        <f>Inputs!U2</f>
        <v>2025</v>
      </c>
      <c r="V2" s="48">
        <f>Inputs!V2</f>
        <v>2026</v>
      </c>
      <c r="W2" s="48">
        <f>Inputs!W2</f>
        <v>2027</v>
      </c>
      <c r="X2" s="48">
        <f>Inputs!X2</f>
        <v>2028</v>
      </c>
      <c r="Y2" s="48">
        <f>Inputs!Y2</f>
        <v>2029</v>
      </c>
      <c r="Z2" s="48">
        <f>Inputs!Z2</f>
        <v>2030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</row>
    <row r="3" spans="1:57" x14ac:dyDescent="0.2">
      <c r="A3" s="49"/>
      <c r="B3" s="49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</row>
    <row r="4" spans="1:57" x14ac:dyDescent="0.2">
      <c r="A4" s="52" t="str">
        <f>C8&amp;" "&amp;I8&amp;": "&amp;B6</f>
        <v>Scenario D: Consequence calculation</v>
      </c>
      <c r="B4" s="52"/>
      <c r="C4" s="53"/>
      <c r="D4" s="54"/>
      <c r="E4" s="54"/>
      <c r="F4" s="54"/>
      <c r="G4" s="54"/>
      <c r="H4" s="54"/>
      <c r="I4" s="54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7" x14ac:dyDescent="0.2">
      <c r="A5" s="49"/>
      <c r="B5" s="49"/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</row>
    <row r="6" spans="1:57" x14ac:dyDescent="0.2">
      <c r="A6" s="49"/>
      <c r="B6" s="49" t="s">
        <v>148</v>
      </c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</row>
    <row r="7" spans="1:57" x14ac:dyDescent="0.2">
      <c r="A7" s="49"/>
      <c r="B7" s="49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</row>
    <row r="8" spans="1:57" x14ac:dyDescent="0.2">
      <c r="A8" s="49"/>
      <c r="B8" s="49"/>
      <c r="C8" s="50" t="s">
        <v>149</v>
      </c>
      <c r="D8" s="51"/>
      <c r="E8" s="51"/>
      <c r="F8" s="51"/>
      <c r="G8" s="51"/>
      <c r="H8" s="51"/>
      <c r="I8" s="55" t="s">
        <v>32</v>
      </c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</row>
    <row r="9" spans="1:57" x14ac:dyDescent="0.2">
      <c r="A9" s="49"/>
      <c r="B9" s="49"/>
      <c r="C9" s="50"/>
      <c r="D9" s="51" t="str">
        <f>Inputs!J52</f>
        <v>PoF</v>
      </c>
      <c r="E9" s="51"/>
      <c r="F9" s="51"/>
      <c r="G9" s="51"/>
      <c r="H9" s="51"/>
      <c r="I9" s="56">
        <f>INDEX(Inputs!$D$52:$O$57,MATCH('Scenario D'!$I$8,Inputs!$D$52:$D$57,0),MATCH('Scenario D'!$D9,Inputs!$D$52:$O$52,0))</f>
        <v>1.1000000000000001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</row>
    <row r="10" spans="1:57" x14ac:dyDescent="0.2">
      <c r="A10" s="49"/>
      <c r="B10" s="49"/>
      <c r="C10" s="50"/>
      <c r="D10" s="51" t="str">
        <f>Inputs!K52</f>
        <v>Capex</v>
      </c>
      <c r="E10" s="51"/>
      <c r="F10" s="51"/>
      <c r="G10" s="51"/>
      <c r="H10" s="51"/>
      <c r="I10" s="56">
        <f>INDEX(Inputs!$D$52:$O$57,MATCH('Scenario D'!$I$8,Inputs!$D$52:$D$57,0),MATCH('Scenario D'!$D10,Inputs!$D$52:$O$52,0))</f>
        <v>0.9</v>
      </c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</row>
    <row r="11" spans="1:57" x14ac:dyDescent="0.2">
      <c r="A11" s="49"/>
      <c r="B11" s="49"/>
      <c r="C11" s="50"/>
      <c r="D11" s="51" t="str">
        <f>Inputs!L52</f>
        <v>Opex</v>
      </c>
      <c r="E11" s="51"/>
      <c r="F11" s="51"/>
      <c r="G11" s="51"/>
      <c r="H11" s="51"/>
      <c r="I11" s="56">
        <f>INDEX(Inputs!$D$52:$O$57,MATCH('Scenario D'!$I$8,Inputs!$D$52:$D$57,0),MATCH('Scenario D'!$D11,Inputs!$D$52:$O$52,0))</f>
        <v>0.9</v>
      </c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</row>
    <row r="12" spans="1:57" x14ac:dyDescent="0.2">
      <c r="A12" s="49"/>
      <c r="B12" s="49"/>
      <c r="C12" s="50"/>
      <c r="D12" s="51" t="str">
        <f>Inputs!M52</f>
        <v>Demand</v>
      </c>
      <c r="E12" s="51"/>
      <c r="F12" s="51"/>
      <c r="G12" s="51"/>
      <c r="H12" s="51"/>
      <c r="I12" s="56">
        <f>INDEX(Inputs!$D$52:$O$57,MATCH('Scenario D'!$I$8,Inputs!$D$52:$D$57,0),MATCH('Scenario D'!$D12,Inputs!$D$52:$O$52,0))</f>
        <v>1.05</v>
      </c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</row>
    <row r="13" spans="1:57" x14ac:dyDescent="0.2">
      <c r="A13" s="49"/>
      <c r="B13" s="49"/>
      <c r="C13" s="50"/>
      <c r="D13" s="51" t="str">
        <f>Inputs!N52</f>
        <v>VCR</v>
      </c>
      <c r="E13" s="51"/>
      <c r="F13" s="51"/>
      <c r="G13" s="51"/>
      <c r="H13" s="51"/>
      <c r="I13" s="56">
        <f>INDEX(Inputs!$D$52:$O$57,MATCH('Scenario D'!$I$8,Inputs!$D$52:$D$57,0),MATCH('Scenario D'!$D13,Inputs!$D$52:$O$52,0))</f>
        <v>1.1000000000000001</v>
      </c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</row>
    <row r="14" spans="1:57" x14ac:dyDescent="0.2">
      <c r="A14" s="49"/>
      <c r="B14" s="49"/>
      <c r="C14" s="50"/>
      <c r="D14" s="51" t="str">
        <f>Inputs!O52</f>
        <v>Environment</v>
      </c>
      <c r="E14" s="51"/>
      <c r="F14" s="51"/>
      <c r="G14" s="51"/>
      <c r="H14" s="51"/>
      <c r="I14" s="56">
        <f>INDEX(Inputs!$D$52:$O$57,MATCH('Scenario D'!$I$8,Inputs!$D$52:$D$57,0),MATCH('Scenario D'!$D14,Inputs!$D$52:$O$52,0))</f>
        <v>1.1000000000000001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</row>
    <row r="15" spans="1:57" x14ac:dyDescent="0.2">
      <c r="A15" s="49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</row>
    <row r="16" spans="1:57" ht="38.25" x14ac:dyDescent="0.2">
      <c r="A16" s="49"/>
      <c r="B16" s="49"/>
      <c r="C16" s="50"/>
      <c r="D16" s="51"/>
      <c r="E16" s="51"/>
      <c r="F16" s="51"/>
      <c r="G16" s="51"/>
      <c r="H16" s="51"/>
      <c r="I16" s="57" t="s">
        <v>69</v>
      </c>
      <c r="J16" s="58" t="s">
        <v>150</v>
      </c>
      <c r="K16" s="58" t="s">
        <v>151</v>
      </c>
      <c r="L16" s="58"/>
      <c r="M16" s="58"/>
      <c r="N16" s="59"/>
      <c r="O16" s="57" t="s">
        <v>152</v>
      </c>
      <c r="P16" s="58" t="s">
        <v>153</v>
      </c>
      <c r="Q16" s="58" t="s">
        <v>154</v>
      </c>
      <c r="R16" s="58" t="s">
        <v>155</v>
      </c>
      <c r="S16" s="58" t="s">
        <v>25</v>
      </c>
      <c r="T16" s="60" t="s">
        <v>156</v>
      </c>
      <c r="U16" s="57" t="s">
        <v>157</v>
      </c>
      <c r="V16" s="61" t="s">
        <v>158</v>
      </c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</row>
    <row r="17" spans="1:57" x14ac:dyDescent="0.2">
      <c r="A17" s="49"/>
      <c r="B17" s="49"/>
      <c r="C17" s="50"/>
      <c r="D17" s="51"/>
      <c r="E17" s="51"/>
      <c r="F17" s="51"/>
      <c r="G17" s="51"/>
      <c r="H17" s="51"/>
      <c r="I17" s="62">
        <f>INDEX(Inputs!$J$64:$J$66,MATCH('Scenario D'!J17,Inputs!$D$64:$D$66,0))</f>
        <v>3</v>
      </c>
      <c r="J17" s="112" t="s">
        <v>40</v>
      </c>
      <c r="K17" s="113" t="str">
        <f>'Base Case'!K17</f>
        <v>Unserved energy</v>
      </c>
      <c r="L17" s="114"/>
      <c r="M17" s="114"/>
      <c r="N17" s="115"/>
      <c r="O17" s="116">
        <v>0</v>
      </c>
      <c r="P17" s="117">
        <v>0</v>
      </c>
      <c r="Q17" s="117">
        <v>0</v>
      </c>
      <c r="R17" s="117">
        <v>0</v>
      </c>
      <c r="S17" s="118">
        <v>0</v>
      </c>
      <c r="T17" s="143">
        <f>'Base Case'!$T17</f>
        <v>0</v>
      </c>
      <c r="U17" s="63">
        <f>SUM(O17:S17)*T17</f>
        <v>0</v>
      </c>
      <c r="V17" s="67">
        <f>SUM(P17:S17)*T17</f>
        <v>0</v>
      </c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</row>
    <row r="18" spans="1:57" x14ac:dyDescent="0.2">
      <c r="A18" s="49"/>
      <c r="B18" s="49"/>
      <c r="C18" s="50"/>
      <c r="D18" s="51"/>
      <c r="E18" s="51"/>
      <c r="F18" s="51"/>
      <c r="G18" s="51"/>
      <c r="H18" s="51"/>
      <c r="I18" s="68">
        <f>INDEX(Inputs!$J$64:$J$66,MATCH('Scenario D'!J18,Inputs!$D$64:$D$66,0))</f>
        <v>3</v>
      </c>
      <c r="J18" s="120" t="s">
        <v>40</v>
      </c>
      <c r="K18" s="121" t="str">
        <f>'Base Case'!K18</f>
        <v>Safety consequence</v>
      </c>
      <c r="L18" s="122"/>
      <c r="M18" s="122"/>
      <c r="N18" s="123"/>
      <c r="O18" s="69">
        <v>0</v>
      </c>
      <c r="P18" s="124">
        <v>0</v>
      </c>
      <c r="Q18" s="124">
        <v>0</v>
      </c>
      <c r="R18" s="124">
        <v>0</v>
      </c>
      <c r="S18" s="125">
        <v>0</v>
      </c>
      <c r="T18" s="73">
        <f>'Base Case'!$T18</f>
        <v>0</v>
      </c>
      <c r="U18" s="74">
        <f t="shared" ref="U18:U46" si="0">SUM(O18:S18)*T18</f>
        <v>0</v>
      </c>
      <c r="V18" s="75">
        <f t="shared" ref="V18:V46" si="1">SUM(P18:S18)*T18</f>
        <v>0</v>
      </c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</row>
    <row r="19" spans="1:57" x14ac:dyDescent="0.2">
      <c r="A19" s="49"/>
      <c r="B19" s="49"/>
      <c r="C19" s="50"/>
      <c r="D19" s="51"/>
      <c r="E19" s="51"/>
      <c r="F19" s="51"/>
      <c r="G19" s="51"/>
      <c r="H19" s="51"/>
      <c r="I19" s="68">
        <f>INDEX(Inputs!$J$64:$J$66,MATCH('Scenario D'!J19,Inputs!$D$64:$D$66,0))</f>
        <v>3</v>
      </c>
      <c r="J19" s="120" t="s">
        <v>40</v>
      </c>
      <c r="K19" s="121" t="str">
        <f>'Base Case'!K19</f>
        <v>Temporary generators and associated costs</v>
      </c>
      <c r="L19" s="122"/>
      <c r="M19" s="122"/>
      <c r="N19" s="123"/>
      <c r="O19" s="69">
        <v>0</v>
      </c>
      <c r="P19" s="124">
        <v>0</v>
      </c>
      <c r="Q19" s="124">
        <v>0</v>
      </c>
      <c r="R19" s="124">
        <v>0</v>
      </c>
      <c r="S19" s="125">
        <v>0</v>
      </c>
      <c r="T19" s="73">
        <f>'Base Case'!$T19</f>
        <v>0</v>
      </c>
      <c r="U19" s="74">
        <f t="shared" si="0"/>
        <v>0</v>
      </c>
      <c r="V19" s="75">
        <f t="shared" si="1"/>
        <v>0</v>
      </c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</row>
    <row r="20" spans="1:57" x14ac:dyDescent="0.2">
      <c r="A20" s="49"/>
      <c r="B20" s="49"/>
      <c r="C20" s="50"/>
      <c r="D20" s="51"/>
      <c r="E20" s="51"/>
      <c r="F20" s="51"/>
      <c r="G20" s="51"/>
      <c r="H20" s="51"/>
      <c r="I20" s="68">
        <f>INDEX(Inputs!$J$64:$J$66,MATCH('Scenario D'!J20,Inputs!$D$64:$D$66,0))</f>
        <v>3</v>
      </c>
      <c r="J20" s="120" t="s">
        <v>40</v>
      </c>
      <c r="K20" s="121" t="str">
        <f>'Base Case'!K20</f>
        <v>Cost of replacement assets</v>
      </c>
      <c r="L20" s="122"/>
      <c r="M20" s="122"/>
      <c r="N20" s="123"/>
      <c r="O20" s="69">
        <v>0</v>
      </c>
      <c r="P20" s="124">
        <v>0</v>
      </c>
      <c r="Q20" s="124">
        <v>0</v>
      </c>
      <c r="R20" s="124">
        <v>0</v>
      </c>
      <c r="S20" s="125">
        <v>0</v>
      </c>
      <c r="T20" s="73">
        <f>'Base Case'!$T20</f>
        <v>0</v>
      </c>
      <c r="U20" s="74">
        <f t="shared" si="0"/>
        <v>0</v>
      </c>
      <c r="V20" s="75">
        <f t="shared" si="1"/>
        <v>0</v>
      </c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</row>
    <row r="21" spans="1:57" x14ac:dyDescent="0.2">
      <c r="A21" s="49"/>
      <c r="B21" s="49"/>
      <c r="C21" s="50"/>
      <c r="D21" s="51"/>
      <c r="E21" s="51"/>
      <c r="F21" s="51"/>
      <c r="G21" s="51"/>
      <c r="H21" s="51"/>
      <c r="I21" s="68">
        <f>INDEX(Inputs!$J$64:$J$66,MATCH('Scenario D'!J21,Inputs!$D$64:$D$66,0))</f>
        <v>3</v>
      </c>
      <c r="J21" s="120" t="s">
        <v>40</v>
      </c>
      <c r="K21" s="121" t="str">
        <f>'Base Case'!K21</f>
        <v>Environmental consequence</v>
      </c>
      <c r="L21" s="122"/>
      <c r="M21" s="122"/>
      <c r="N21" s="123"/>
      <c r="O21" s="69">
        <v>0</v>
      </c>
      <c r="P21" s="124">
        <v>0</v>
      </c>
      <c r="Q21" s="124">
        <v>0</v>
      </c>
      <c r="R21" s="124">
        <v>0</v>
      </c>
      <c r="S21" s="125">
        <v>0</v>
      </c>
      <c r="T21" s="73">
        <f>'Base Case'!$T21</f>
        <v>0</v>
      </c>
      <c r="U21" s="74">
        <f t="shared" si="0"/>
        <v>0</v>
      </c>
      <c r="V21" s="75">
        <f t="shared" si="1"/>
        <v>0</v>
      </c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</row>
    <row r="22" spans="1:57" x14ac:dyDescent="0.2">
      <c r="A22" s="49"/>
      <c r="B22" s="49"/>
      <c r="C22" s="50"/>
      <c r="D22" s="51"/>
      <c r="E22" s="51"/>
      <c r="F22" s="51"/>
      <c r="G22" s="51"/>
      <c r="H22" s="51"/>
      <c r="I22" s="68">
        <f>INDEX(Inputs!$J$64:$J$66,MATCH('Scenario D'!J22,Inputs!$D$64:$D$66,0))</f>
        <v>3</v>
      </c>
      <c r="J22" s="120" t="s">
        <v>40</v>
      </c>
      <c r="K22" s="121" t="str">
        <f>'Base Case'!K22</f>
        <v>Fire brigade attendance</v>
      </c>
      <c r="L22" s="122"/>
      <c r="M22" s="122"/>
      <c r="N22" s="123"/>
      <c r="O22" s="69">
        <v>0</v>
      </c>
      <c r="P22" s="124">
        <v>0</v>
      </c>
      <c r="Q22" s="124">
        <v>0</v>
      </c>
      <c r="R22" s="124">
        <v>0</v>
      </c>
      <c r="S22" s="125">
        <v>0</v>
      </c>
      <c r="T22" s="73">
        <f>'Base Case'!$T22</f>
        <v>0</v>
      </c>
      <c r="U22" s="74">
        <f t="shared" si="0"/>
        <v>0</v>
      </c>
      <c r="V22" s="75">
        <f t="shared" si="1"/>
        <v>0</v>
      </c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</row>
    <row r="23" spans="1:57" x14ac:dyDescent="0.2">
      <c r="A23" s="49"/>
      <c r="B23" s="49"/>
      <c r="C23" s="50"/>
      <c r="D23" s="51"/>
      <c r="E23" s="51"/>
      <c r="F23" s="51"/>
      <c r="G23" s="51"/>
      <c r="H23" s="51"/>
      <c r="I23" s="68">
        <f>INDEX(Inputs!$J$64:$J$66,MATCH('Scenario D'!J23,Inputs!$D$64:$D$66,0))</f>
        <v>3</v>
      </c>
      <c r="J23" s="120" t="s">
        <v>40</v>
      </c>
      <c r="K23" s="121" t="str">
        <f>'Base Case'!K23</f>
        <v>Disruption to adjacent residential and commercial customers</v>
      </c>
      <c r="L23" s="122"/>
      <c r="M23" s="122"/>
      <c r="N23" s="123"/>
      <c r="O23" s="69">
        <v>0</v>
      </c>
      <c r="P23" s="124">
        <v>0</v>
      </c>
      <c r="Q23" s="124">
        <v>0</v>
      </c>
      <c r="R23" s="124">
        <v>0</v>
      </c>
      <c r="S23" s="125">
        <v>0</v>
      </c>
      <c r="T23" s="73">
        <f>'Base Case'!$T23</f>
        <v>0</v>
      </c>
      <c r="U23" s="74">
        <f t="shared" si="0"/>
        <v>0</v>
      </c>
      <c r="V23" s="75">
        <f t="shared" si="1"/>
        <v>0</v>
      </c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 x14ac:dyDescent="0.2">
      <c r="A24" s="49"/>
      <c r="B24" s="49"/>
      <c r="C24" s="50"/>
      <c r="D24" s="51"/>
      <c r="E24" s="51"/>
      <c r="F24" s="51"/>
      <c r="G24" s="51"/>
      <c r="H24" s="51"/>
      <c r="I24" s="68">
        <f>INDEX(Inputs!$J$64:$J$66,MATCH('Scenario D'!J24,Inputs!$D$64:$D$66,0))</f>
        <v>3</v>
      </c>
      <c r="J24" s="120" t="s">
        <v>40</v>
      </c>
      <c r="K24" s="121" t="str">
        <f>'Base Case'!K24</f>
        <v>Coincident outage risk</v>
      </c>
      <c r="L24" s="122"/>
      <c r="M24" s="122"/>
      <c r="N24" s="123"/>
      <c r="O24" s="69">
        <v>0</v>
      </c>
      <c r="P24" s="124">
        <v>0</v>
      </c>
      <c r="Q24" s="124">
        <v>0</v>
      </c>
      <c r="R24" s="124">
        <v>0</v>
      </c>
      <c r="S24" s="125">
        <v>0</v>
      </c>
      <c r="T24" s="73">
        <f>'Base Case'!$T24</f>
        <v>0</v>
      </c>
      <c r="U24" s="74">
        <f t="shared" si="0"/>
        <v>0</v>
      </c>
      <c r="V24" s="75">
        <f t="shared" si="1"/>
        <v>0</v>
      </c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</row>
    <row r="25" spans="1:57" x14ac:dyDescent="0.2">
      <c r="A25" s="49"/>
      <c r="B25" s="49"/>
      <c r="C25" s="50"/>
      <c r="D25" s="51"/>
      <c r="E25" s="51"/>
      <c r="F25" s="51"/>
      <c r="G25" s="51"/>
      <c r="H25" s="51"/>
      <c r="I25" s="68">
        <f>INDEX(Inputs!$J$64:$J$66,MATCH('Scenario D'!J25,Inputs!$D$64:$D$66,0))</f>
        <v>3</v>
      </c>
      <c r="J25" s="120" t="s">
        <v>40</v>
      </c>
      <c r="K25" s="121" t="str">
        <f>'Base Case'!K25</f>
        <v>[Spare]</v>
      </c>
      <c r="L25" s="122"/>
      <c r="M25" s="122"/>
      <c r="N25" s="123"/>
      <c r="O25" s="69">
        <v>0</v>
      </c>
      <c r="P25" s="124">
        <v>0</v>
      </c>
      <c r="Q25" s="124">
        <v>0</v>
      </c>
      <c r="R25" s="124">
        <v>0</v>
      </c>
      <c r="S25" s="125">
        <v>0</v>
      </c>
      <c r="T25" s="73">
        <f>'Base Case'!$T25</f>
        <v>0</v>
      </c>
      <c r="U25" s="74">
        <f t="shared" si="0"/>
        <v>0</v>
      </c>
      <c r="V25" s="75">
        <f t="shared" si="1"/>
        <v>0</v>
      </c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</row>
    <row r="26" spans="1:57" x14ac:dyDescent="0.2">
      <c r="A26" s="49"/>
      <c r="B26" s="49"/>
      <c r="C26" s="50"/>
      <c r="D26" s="51"/>
      <c r="E26" s="51"/>
      <c r="F26" s="51"/>
      <c r="G26" s="51"/>
      <c r="H26" s="51"/>
      <c r="I26" s="78">
        <f>INDEX(Inputs!$J$64:$J$66,MATCH('Scenario D'!J26,Inputs!$D$64:$D$66,0))</f>
        <v>3</v>
      </c>
      <c r="J26" s="127" t="s">
        <v>40</v>
      </c>
      <c r="K26" s="128" t="str">
        <f>'Base Case'!K26</f>
        <v>[Spare]</v>
      </c>
      <c r="L26" s="129"/>
      <c r="M26" s="129"/>
      <c r="N26" s="130"/>
      <c r="O26" s="79">
        <v>0</v>
      </c>
      <c r="P26" s="131">
        <v>0</v>
      </c>
      <c r="Q26" s="131">
        <v>0</v>
      </c>
      <c r="R26" s="131">
        <v>0</v>
      </c>
      <c r="S26" s="132">
        <v>0</v>
      </c>
      <c r="T26" s="144">
        <f>'Base Case'!$T26</f>
        <v>0</v>
      </c>
      <c r="U26" s="83">
        <f t="shared" si="0"/>
        <v>0</v>
      </c>
      <c r="V26" s="84">
        <f t="shared" si="1"/>
        <v>0</v>
      </c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</row>
    <row r="27" spans="1:57" x14ac:dyDescent="0.2">
      <c r="A27" s="49"/>
      <c r="B27" s="49"/>
      <c r="C27" s="50"/>
      <c r="D27" s="51"/>
      <c r="E27" s="51"/>
      <c r="F27" s="51"/>
      <c r="G27" s="51"/>
      <c r="H27" s="51"/>
      <c r="I27" s="62">
        <f>INDEX(Inputs!$J$64:$J$66,MATCH('Scenario D'!J27,Inputs!$D$64:$D$66,0))</f>
        <v>2</v>
      </c>
      <c r="J27" s="100" t="s">
        <v>39</v>
      </c>
      <c r="K27" s="101" t="str">
        <f>'Base Case'!K27</f>
        <v>Unserved energy</v>
      </c>
      <c r="L27" s="102"/>
      <c r="M27" s="102"/>
      <c r="N27" s="103"/>
      <c r="O27" s="63">
        <f>O105</f>
        <v>26300701.327374041</v>
      </c>
      <c r="P27" s="64">
        <v>0</v>
      </c>
      <c r="Q27" s="64">
        <v>0</v>
      </c>
      <c r="R27" s="64">
        <v>0</v>
      </c>
      <c r="S27" s="65">
        <v>0</v>
      </c>
      <c r="T27" s="143">
        <f>'Base Case'!$T27</f>
        <v>1</v>
      </c>
      <c r="U27" s="63">
        <f t="shared" si="0"/>
        <v>26300701.327374041</v>
      </c>
      <c r="V27" s="67">
        <f t="shared" si="1"/>
        <v>0</v>
      </c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</row>
    <row r="28" spans="1:57" x14ac:dyDescent="0.2">
      <c r="A28" s="49"/>
      <c r="B28" s="49"/>
      <c r="C28" s="50"/>
      <c r="D28" s="51"/>
      <c r="E28" s="51"/>
      <c r="F28" s="51"/>
      <c r="G28" s="51"/>
      <c r="H28" s="51"/>
      <c r="I28" s="68">
        <f>INDEX(Inputs!$J$64:$J$66,MATCH('Scenario D'!J28,Inputs!$D$64:$D$66,0))</f>
        <v>2</v>
      </c>
      <c r="J28" s="104" t="s">
        <v>39</v>
      </c>
      <c r="K28" s="105" t="str">
        <f>'Base Case'!K28</f>
        <v>Safety consequence</v>
      </c>
      <c r="L28" s="106"/>
      <c r="M28" s="106"/>
      <c r="N28" s="107"/>
      <c r="O28" s="69">
        <v>0</v>
      </c>
      <c r="P28" s="70">
        <f>SUM(Inputs!$L$168:$L$170)*Inputs!$K$178</f>
        <v>32586.166129224315</v>
      </c>
      <c r="Q28" s="71">
        <v>0</v>
      </c>
      <c r="R28" s="71">
        <v>0</v>
      </c>
      <c r="S28" s="72">
        <v>0</v>
      </c>
      <c r="T28" s="73">
        <f>'Base Case'!$T28</f>
        <v>1</v>
      </c>
      <c r="U28" s="74">
        <f t="shared" si="0"/>
        <v>32586.166129224315</v>
      </c>
      <c r="V28" s="75">
        <f t="shared" si="1"/>
        <v>32586.166129224315</v>
      </c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</row>
    <row r="29" spans="1:57" x14ac:dyDescent="0.2">
      <c r="A29" s="49"/>
      <c r="B29" s="49"/>
      <c r="C29" s="50"/>
      <c r="D29" s="51"/>
      <c r="E29" s="51"/>
      <c r="F29" s="51"/>
      <c r="G29" s="51"/>
      <c r="H29" s="51"/>
      <c r="I29" s="68">
        <f>INDEX(Inputs!$J$64:$J$66,MATCH('Scenario D'!J29,Inputs!$D$64:$D$66,0))</f>
        <v>2</v>
      </c>
      <c r="J29" s="104" t="s">
        <v>39</v>
      </c>
      <c r="K29" s="105" t="str">
        <f>'Base Case'!K29</f>
        <v>Temporary generators and associated costs</v>
      </c>
      <c r="L29" s="106"/>
      <c r="M29" s="106"/>
      <c r="N29" s="107"/>
      <c r="O29" s="69">
        <v>0</v>
      </c>
      <c r="P29" s="71">
        <v>0</v>
      </c>
      <c r="Q29" s="70">
        <f>Inputs!$K$161*$I$11</f>
        <v>13655812.975109365</v>
      </c>
      <c r="R29" s="71">
        <v>0</v>
      </c>
      <c r="S29" s="72">
        <v>0</v>
      </c>
      <c r="T29" s="73">
        <f>'Base Case'!$T29</f>
        <v>1</v>
      </c>
      <c r="U29" s="74">
        <f t="shared" si="0"/>
        <v>13655812.975109365</v>
      </c>
      <c r="V29" s="75">
        <f t="shared" si="1"/>
        <v>13655812.975109365</v>
      </c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</row>
    <row r="30" spans="1:57" x14ac:dyDescent="0.2">
      <c r="A30" s="49"/>
      <c r="B30" s="49"/>
      <c r="C30" s="50"/>
      <c r="D30" s="51"/>
      <c r="E30" s="51"/>
      <c r="F30" s="51"/>
      <c r="G30" s="51"/>
      <c r="H30" s="51"/>
      <c r="I30" s="68">
        <f>INDEX(Inputs!$J$64:$J$66,MATCH('Scenario D'!J30,Inputs!$D$64:$D$66,0))</f>
        <v>2</v>
      </c>
      <c r="J30" s="104" t="s">
        <v>39</v>
      </c>
      <c r="K30" s="105" t="str">
        <f>'Base Case'!K30</f>
        <v>Cost of replacement assets</v>
      </c>
      <c r="L30" s="106"/>
      <c r="M30" s="106"/>
      <c r="N30" s="107"/>
      <c r="O30" s="69">
        <v>0</v>
      </c>
      <c r="P30" s="71">
        <v>0</v>
      </c>
      <c r="Q30" s="71">
        <v>0</v>
      </c>
      <c r="R30" s="70">
        <f>Inputs!$J$22*$I$10</f>
        <v>7596042.0044428306</v>
      </c>
      <c r="S30" s="72">
        <v>0</v>
      </c>
      <c r="T30" s="73">
        <f>'Base Case'!$T30</f>
        <v>1</v>
      </c>
      <c r="U30" s="74">
        <f t="shared" si="0"/>
        <v>7596042.0044428306</v>
      </c>
      <c r="V30" s="75">
        <f t="shared" si="1"/>
        <v>7596042.0044428306</v>
      </c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</row>
    <row r="31" spans="1:57" x14ac:dyDescent="0.2">
      <c r="A31" s="49"/>
      <c r="B31" s="49"/>
      <c r="C31" s="50"/>
      <c r="D31" s="51"/>
      <c r="E31" s="51"/>
      <c r="F31" s="51"/>
      <c r="G31" s="51"/>
      <c r="H31" s="51"/>
      <c r="I31" s="68">
        <f>INDEX(Inputs!$J$64:$J$66,MATCH('Scenario D'!J31,Inputs!$D$64:$D$66,0))</f>
        <v>2</v>
      </c>
      <c r="J31" s="104" t="s">
        <v>39</v>
      </c>
      <c r="K31" s="105" t="str">
        <f>'Base Case'!K31</f>
        <v>Environmental consequence</v>
      </c>
      <c r="L31" s="106"/>
      <c r="M31" s="106"/>
      <c r="N31" s="107"/>
      <c r="O31" s="69">
        <v>0</v>
      </c>
      <c r="P31" s="71">
        <v>0</v>
      </c>
      <c r="Q31" s="71">
        <v>0</v>
      </c>
      <c r="R31" s="71">
        <v>0</v>
      </c>
      <c r="S31" s="77">
        <f>Inputs!$K$105*$I$14</f>
        <v>104868.27610619471</v>
      </c>
      <c r="T31" s="73">
        <f>'Base Case'!$T31</f>
        <v>1</v>
      </c>
      <c r="U31" s="74">
        <f t="shared" si="0"/>
        <v>104868.27610619471</v>
      </c>
      <c r="V31" s="75">
        <f t="shared" si="1"/>
        <v>104868.27610619471</v>
      </c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</row>
    <row r="32" spans="1:57" x14ac:dyDescent="0.2">
      <c r="A32" s="49"/>
      <c r="B32" s="49"/>
      <c r="C32" s="50"/>
      <c r="D32" s="51"/>
      <c r="E32" s="51"/>
      <c r="F32" s="51"/>
      <c r="G32" s="51"/>
      <c r="H32" s="51"/>
      <c r="I32" s="68">
        <f>INDEX(Inputs!$J$64:$J$66,MATCH('Scenario D'!J32,Inputs!$D$64:$D$66,0))</f>
        <v>2</v>
      </c>
      <c r="J32" s="104" t="s">
        <v>39</v>
      </c>
      <c r="K32" s="105" t="str">
        <f>'Base Case'!K32</f>
        <v>Fire brigade attendance</v>
      </c>
      <c r="L32" s="106"/>
      <c r="M32" s="106"/>
      <c r="N32" s="107"/>
      <c r="O32" s="69">
        <v>0</v>
      </c>
      <c r="P32" s="71">
        <v>0</v>
      </c>
      <c r="Q32" s="70">
        <f>Inputs!$K$97*$I$11</f>
        <v>46631.150442477883</v>
      </c>
      <c r="R32" s="71">
        <v>0</v>
      </c>
      <c r="S32" s="72">
        <v>0</v>
      </c>
      <c r="T32" s="73">
        <f>'Base Case'!$T32</f>
        <v>1</v>
      </c>
      <c r="U32" s="74">
        <f t="shared" si="0"/>
        <v>46631.150442477883</v>
      </c>
      <c r="V32" s="75">
        <f t="shared" si="1"/>
        <v>46631.150442477883</v>
      </c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</row>
    <row r="33" spans="1:57" x14ac:dyDescent="0.2">
      <c r="A33" s="49"/>
      <c r="B33" s="49"/>
      <c r="C33" s="50"/>
      <c r="D33" s="51"/>
      <c r="E33" s="51"/>
      <c r="F33" s="51"/>
      <c r="G33" s="51"/>
      <c r="H33" s="51"/>
      <c r="I33" s="68">
        <f>INDEX(Inputs!$J$64:$J$66,MATCH('Scenario D'!J33,Inputs!$D$64:$D$66,0))</f>
        <v>2</v>
      </c>
      <c r="J33" s="104" t="s">
        <v>39</v>
      </c>
      <c r="K33" s="105" t="str">
        <f>'Base Case'!K33</f>
        <v>Disruption to adjacent residential and commercial customers</v>
      </c>
      <c r="L33" s="106"/>
      <c r="M33" s="106"/>
      <c r="N33" s="107"/>
      <c r="O33" s="69">
        <v>0</v>
      </c>
      <c r="P33" s="71">
        <v>0</v>
      </c>
      <c r="Q33" s="71">
        <v>0</v>
      </c>
      <c r="R33" s="71">
        <v>0</v>
      </c>
      <c r="S33" s="72">
        <v>0</v>
      </c>
      <c r="T33" s="73">
        <f>'Base Case'!$T33</f>
        <v>1</v>
      </c>
      <c r="U33" s="74">
        <f t="shared" si="0"/>
        <v>0</v>
      </c>
      <c r="V33" s="75">
        <f t="shared" si="1"/>
        <v>0</v>
      </c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</row>
    <row r="34" spans="1:57" x14ac:dyDescent="0.2">
      <c r="A34" s="49"/>
      <c r="B34" s="49"/>
      <c r="C34" s="50"/>
      <c r="D34" s="51"/>
      <c r="E34" s="51"/>
      <c r="F34" s="51"/>
      <c r="G34" s="51"/>
      <c r="H34" s="51"/>
      <c r="I34" s="68">
        <f>INDEX(Inputs!$J$64:$J$66,MATCH('Scenario D'!J34,Inputs!$D$64:$D$66,0))</f>
        <v>2</v>
      </c>
      <c r="J34" s="120" t="s">
        <v>39</v>
      </c>
      <c r="K34" s="121" t="str">
        <f>'Base Case'!K34</f>
        <v>Coincident outage risk</v>
      </c>
      <c r="L34" s="122"/>
      <c r="M34" s="122"/>
      <c r="N34" s="123"/>
      <c r="O34" s="69">
        <v>0</v>
      </c>
      <c r="P34" s="124">
        <v>0</v>
      </c>
      <c r="Q34" s="124">
        <v>0</v>
      </c>
      <c r="R34" s="124">
        <v>0</v>
      </c>
      <c r="S34" s="125">
        <v>0</v>
      </c>
      <c r="T34" s="73">
        <f>'Base Case'!$T34</f>
        <v>0</v>
      </c>
      <c r="U34" s="74">
        <f t="shared" si="0"/>
        <v>0</v>
      </c>
      <c r="V34" s="75">
        <f t="shared" si="1"/>
        <v>0</v>
      </c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</row>
    <row r="35" spans="1:57" x14ac:dyDescent="0.2">
      <c r="A35" s="49"/>
      <c r="B35" s="49"/>
      <c r="C35" s="50"/>
      <c r="D35" s="51"/>
      <c r="E35" s="51"/>
      <c r="F35" s="51"/>
      <c r="G35" s="51"/>
      <c r="H35" s="51"/>
      <c r="I35" s="68">
        <f>INDEX(Inputs!$J$64:$J$66,MATCH('Scenario D'!J35,Inputs!$D$64:$D$66,0))</f>
        <v>2</v>
      </c>
      <c r="J35" s="104" t="s">
        <v>39</v>
      </c>
      <c r="K35" s="105" t="str">
        <f>'Base Case'!K35</f>
        <v>[Spare]</v>
      </c>
      <c r="L35" s="106"/>
      <c r="M35" s="106"/>
      <c r="N35" s="107"/>
      <c r="O35" s="69">
        <v>0</v>
      </c>
      <c r="P35" s="71">
        <v>0</v>
      </c>
      <c r="Q35" s="71">
        <v>0</v>
      </c>
      <c r="R35" s="71">
        <v>0</v>
      </c>
      <c r="S35" s="72">
        <v>0</v>
      </c>
      <c r="T35" s="73">
        <f>'Base Case'!$T35</f>
        <v>0</v>
      </c>
      <c r="U35" s="74">
        <f t="shared" si="0"/>
        <v>0</v>
      </c>
      <c r="V35" s="75">
        <f t="shared" si="1"/>
        <v>0</v>
      </c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</row>
    <row r="36" spans="1:57" x14ac:dyDescent="0.2">
      <c r="A36" s="49"/>
      <c r="B36" s="49"/>
      <c r="C36" s="50"/>
      <c r="D36" s="51"/>
      <c r="E36" s="51"/>
      <c r="F36" s="51"/>
      <c r="G36" s="51"/>
      <c r="H36" s="51"/>
      <c r="I36" s="78">
        <f>INDEX(Inputs!$J$64:$J$66,MATCH('Scenario D'!J36,Inputs!$D$64:$D$66,0))</f>
        <v>2</v>
      </c>
      <c r="J36" s="108" t="s">
        <v>39</v>
      </c>
      <c r="K36" s="109" t="str">
        <f>'Base Case'!K36</f>
        <v>[Spare]</v>
      </c>
      <c r="L36" s="110"/>
      <c r="M36" s="110"/>
      <c r="N36" s="111"/>
      <c r="O36" s="79">
        <v>0</v>
      </c>
      <c r="P36" s="80">
        <v>0</v>
      </c>
      <c r="Q36" s="80">
        <v>0</v>
      </c>
      <c r="R36" s="80">
        <v>0</v>
      </c>
      <c r="S36" s="81">
        <v>0</v>
      </c>
      <c r="T36" s="144">
        <f>'Base Case'!$T36</f>
        <v>0</v>
      </c>
      <c r="U36" s="83">
        <f t="shared" si="0"/>
        <v>0</v>
      </c>
      <c r="V36" s="84">
        <f t="shared" si="1"/>
        <v>0</v>
      </c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</row>
    <row r="37" spans="1:57" x14ac:dyDescent="0.2">
      <c r="A37" s="49"/>
      <c r="B37" s="49"/>
      <c r="C37" s="50"/>
      <c r="D37" s="51"/>
      <c r="E37" s="51"/>
      <c r="F37" s="51"/>
      <c r="G37" s="51"/>
      <c r="H37" s="51"/>
      <c r="I37" s="62">
        <f>INDEX(Inputs!$J$64:$J$66,MATCH('Scenario D'!J37,Inputs!$D$64:$D$66,0))</f>
        <v>1</v>
      </c>
      <c r="J37" s="100" t="s">
        <v>38</v>
      </c>
      <c r="K37" s="101" t="str">
        <f>'Base Case'!K37</f>
        <v>Unserved energy</v>
      </c>
      <c r="L37" s="102"/>
      <c r="M37" s="102"/>
      <c r="N37" s="103"/>
      <c r="O37" s="63">
        <f>O103</f>
        <v>438144.75072260486</v>
      </c>
      <c r="P37" s="64">
        <v>0</v>
      </c>
      <c r="Q37" s="64">
        <v>0</v>
      </c>
      <c r="R37" s="64">
        <v>0</v>
      </c>
      <c r="S37" s="65">
        <v>0</v>
      </c>
      <c r="T37" s="143">
        <f>'Base Case'!$T37</f>
        <v>1</v>
      </c>
      <c r="U37" s="63">
        <f t="shared" si="0"/>
        <v>438144.75072260486</v>
      </c>
      <c r="V37" s="67">
        <f t="shared" si="1"/>
        <v>0</v>
      </c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</row>
    <row r="38" spans="1:57" x14ac:dyDescent="0.2">
      <c r="A38" s="49"/>
      <c r="B38" s="49"/>
      <c r="C38" s="50"/>
      <c r="D38" s="51"/>
      <c r="E38" s="51"/>
      <c r="F38" s="51"/>
      <c r="G38" s="51"/>
      <c r="H38" s="51"/>
      <c r="I38" s="68">
        <f>INDEX(Inputs!$J$64:$J$66,MATCH('Scenario D'!J38,Inputs!$D$64:$D$66,0))</f>
        <v>1</v>
      </c>
      <c r="J38" s="104" t="s">
        <v>38</v>
      </c>
      <c r="K38" s="105" t="str">
        <f>'Base Case'!K38</f>
        <v>Safety consequence</v>
      </c>
      <c r="L38" s="106"/>
      <c r="M38" s="106"/>
      <c r="N38" s="107"/>
      <c r="O38" s="69">
        <v>0</v>
      </c>
      <c r="P38" s="70">
        <f>SUM(Inputs!$L$168:$L$170)*Inputs!$J$178</f>
        <v>6517.2332258448641</v>
      </c>
      <c r="Q38" s="71">
        <v>0</v>
      </c>
      <c r="R38" s="71">
        <v>0</v>
      </c>
      <c r="S38" s="72">
        <v>0</v>
      </c>
      <c r="T38" s="73">
        <f>'Base Case'!$T38</f>
        <v>1</v>
      </c>
      <c r="U38" s="74">
        <f t="shared" si="0"/>
        <v>6517.2332258448641</v>
      </c>
      <c r="V38" s="75">
        <f t="shared" si="1"/>
        <v>6517.2332258448641</v>
      </c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</row>
    <row r="39" spans="1:57" x14ac:dyDescent="0.2">
      <c r="A39" s="49"/>
      <c r="B39" s="49"/>
      <c r="C39" s="50"/>
      <c r="D39" s="51"/>
      <c r="E39" s="51"/>
      <c r="F39" s="51"/>
      <c r="G39" s="51"/>
      <c r="H39" s="51"/>
      <c r="I39" s="68">
        <f>INDEX(Inputs!$J$64:$J$66,MATCH('Scenario D'!J39,Inputs!$D$64:$D$66,0))</f>
        <v>1</v>
      </c>
      <c r="J39" s="104" t="s">
        <v>38</v>
      </c>
      <c r="K39" s="105" t="str">
        <f>'Base Case'!K39</f>
        <v>Temporary generators and associated costs</v>
      </c>
      <c r="L39" s="106"/>
      <c r="M39" s="106"/>
      <c r="N39" s="107"/>
      <c r="O39" s="69">
        <v>0</v>
      </c>
      <c r="P39" s="71">
        <v>0</v>
      </c>
      <c r="Q39" s="70">
        <f>Inputs!$J$161*$I$11</f>
        <v>0</v>
      </c>
      <c r="R39" s="71">
        <v>0</v>
      </c>
      <c r="S39" s="72">
        <v>0</v>
      </c>
      <c r="T39" s="73">
        <f>'Base Case'!$T39</f>
        <v>1</v>
      </c>
      <c r="U39" s="74">
        <f t="shared" si="0"/>
        <v>0</v>
      </c>
      <c r="V39" s="75">
        <f t="shared" si="1"/>
        <v>0</v>
      </c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</row>
    <row r="40" spans="1:57" x14ac:dyDescent="0.2">
      <c r="A40" s="49"/>
      <c r="B40" s="49"/>
      <c r="C40" s="50"/>
      <c r="D40" s="51"/>
      <c r="E40" s="51"/>
      <c r="F40" s="51"/>
      <c r="G40" s="51"/>
      <c r="H40" s="51"/>
      <c r="I40" s="68">
        <f>INDEX(Inputs!$J$64:$J$66,MATCH('Scenario D'!J40,Inputs!$D$64:$D$66,0))</f>
        <v>1</v>
      </c>
      <c r="J40" s="104" t="s">
        <v>38</v>
      </c>
      <c r="K40" s="105" t="str">
        <f>'Base Case'!K40</f>
        <v>Cost of replacement assets</v>
      </c>
      <c r="L40" s="106"/>
      <c r="M40" s="106"/>
      <c r="N40" s="107"/>
      <c r="O40" s="69">
        <v>0</v>
      </c>
      <c r="P40" s="71">
        <v>0</v>
      </c>
      <c r="Q40" s="71">
        <v>0</v>
      </c>
      <c r="R40" s="70">
        <f>Inputs!$J$27*$I$11</f>
        <v>42341.084601769915</v>
      </c>
      <c r="S40" s="72">
        <v>0</v>
      </c>
      <c r="T40" s="73">
        <f>'Base Case'!$T40</f>
        <v>1</v>
      </c>
      <c r="U40" s="74">
        <f t="shared" si="0"/>
        <v>42341.084601769915</v>
      </c>
      <c r="V40" s="75">
        <f t="shared" si="1"/>
        <v>42341.084601769915</v>
      </c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</row>
    <row r="41" spans="1:57" x14ac:dyDescent="0.2">
      <c r="A41" s="49"/>
      <c r="B41" s="49"/>
      <c r="C41" s="50"/>
      <c r="D41" s="51"/>
      <c r="E41" s="51"/>
      <c r="F41" s="51"/>
      <c r="G41" s="51"/>
      <c r="H41" s="51"/>
      <c r="I41" s="68">
        <f>INDEX(Inputs!$J$64:$J$66,MATCH('Scenario D'!J41,Inputs!$D$64:$D$66,0))</f>
        <v>1</v>
      </c>
      <c r="J41" s="104" t="s">
        <v>38</v>
      </c>
      <c r="K41" s="105" t="str">
        <f>'Base Case'!K41</f>
        <v>Environmental consequence</v>
      </c>
      <c r="L41" s="106"/>
      <c r="M41" s="106"/>
      <c r="N41" s="107"/>
      <c r="O41" s="69">
        <v>0</v>
      </c>
      <c r="P41" s="71">
        <v>0</v>
      </c>
      <c r="Q41" s="71">
        <v>0</v>
      </c>
      <c r="R41" s="71">
        <v>0</v>
      </c>
      <c r="S41" s="77">
        <f>Inputs!$J$105*$I$14</f>
        <v>13336.509026548676</v>
      </c>
      <c r="T41" s="73">
        <f>'Base Case'!$T41</f>
        <v>1</v>
      </c>
      <c r="U41" s="74">
        <f t="shared" si="0"/>
        <v>13336.509026548676</v>
      </c>
      <c r="V41" s="75">
        <f t="shared" si="1"/>
        <v>13336.509026548676</v>
      </c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</row>
    <row r="42" spans="1:57" x14ac:dyDescent="0.2">
      <c r="A42" s="49"/>
      <c r="B42" s="49"/>
      <c r="C42" s="50"/>
      <c r="D42" s="51"/>
      <c r="E42" s="51"/>
      <c r="F42" s="51"/>
      <c r="G42" s="51"/>
      <c r="H42" s="51"/>
      <c r="I42" s="68">
        <f>INDEX(Inputs!$J$64:$J$66,MATCH('Scenario D'!J42,Inputs!$D$64:$D$66,0))</f>
        <v>1</v>
      </c>
      <c r="J42" s="104" t="s">
        <v>38</v>
      </c>
      <c r="K42" s="105" t="str">
        <f>'Base Case'!K42</f>
        <v>Fire brigade attendance</v>
      </c>
      <c r="L42" s="106"/>
      <c r="M42" s="106"/>
      <c r="N42" s="107"/>
      <c r="O42" s="69">
        <v>0</v>
      </c>
      <c r="P42" s="71">
        <v>0</v>
      </c>
      <c r="Q42" s="70">
        <f>Inputs!$K$97*$I$11</f>
        <v>46631.150442477883</v>
      </c>
      <c r="R42" s="71">
        <v>0</v>
      </c>
      <c r="S42" s="72">
        <v>0</v>
      </c>
      <c r="T42" s="73">
        <f>'Base Case'!$T42</f>
        <v>1</v>
      </c>
      <c r="U42" s="74">
        <f t="shared" si="0"/>
        <v>46631.150442477883</v>
      </c>
      <c r="V42" s="75">
        <f t="shared" si="1"/>
        <v>46631.150442477883</v>
      </c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</row>
    <row r="43" spans="1:57" x14ac:dyDescent="0.2">
      <c r="A43" s="49"/>
      <c r="B43" s="49"/>
      <c r="C43" s="50"/>
      <c r="D43" s="51"/>
      <c r="E43" s="51"/>
      <c r="F43" s="51"/>
      <c r="G43" s="51"/>
      <c r="H43" s="51"/>
      <c r="I43" s="68">
        <f>INDEX(Inputs!$J$64:$J$66,MATCH('Scenario D'!J43,Inputs!$D$64:$D$66,0))</f>
        <v>1</v>
      </c>
      <c r="J43" s="104" t="s">
        <v>38</v>
      </c>
      <c r="K43" s="105" t="str">
        <f>'Base Case'!K43</f>
        <v>Disruption to adjacent residential and commercial customers</v>
      </c>
      <c r="L43" s="106"/>
      <c r="M43" s="106"/>
      <c r="N43" s="107"/>
      <c r="O43" s="69">
        <v>0</v>
      </c>
      <c r="P43" s="71">
        <v>0</v>
      </c>
      <c r="Q43" s="71">
        <v>0</v>
      </c>
      <c r="R43" s="71">
        <v>0</v>
      </c>
      <c r="S43" s="72">
        <v>0</v>
      </c>
      <c r="T43" s="73">
        <f>'Base Case'!$T43</f>
        <v>1</v>
      </c>
      <c r="U43" s="74">
        <f t="shared" si="0"/>
        <v>0</v>
      </c>
      <c r="V43" s="75">
        <f t="shared" si="1"/>
        <v>0</v>
      </c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</row>
    <row r="44" spans="1:57" x14ac:dyDescent="0.2">
      <c r="A44" s="49"/>
      <c r="B44" s="49"/>
      <c r="C44" s="50"/>
      <c r="D44" s="51"/>
      <c r="E44" s="51"/>
      <c r="F44" s="51"/>
      <c r="G44" s="51"/>
      <c r="H44" s="51"/>
      <c r="I44" s="68">
        <f>INDEX(Inputs!$J$64:$J$66,MATCH('Scenario D'!J44,Inputs!$D$64:$D$66,0))</f>
        <v>1</v>
      </c>
      <c r="J44" s="120" t="s">
        <v>38</v>
      </c>
      <c r="K44" s="121" t="str">
        <f>'Base Case'!K44</f>
        <v>Coincident outage risk</v>
      </c>
      <c r="L44" s="122"/>
      <c r="M44" s="122"/>
      <c r="N44" s="123"/>
      <c r="O44" s="69">
        <v>0</v>
      </c>
      <c r="P44" s="124">
        <v>0</v>
      </c>
      <c r="Q44" s="124">
        <v>0</v>
      </c>
      <c r="R44" s="124">
        <v>0</v>
      </c>
      <c r="S44" s="125">
        <v>0</v>
      </c>
      <c r="T44" s="73">
        <f>'Base Case'!$T44</f>
        <v>0</v>
      </c>
      <c r="U44" s="74">
        <f t="shared" si="0"/>
        <v>0</v>
      </c>
      <c r="V44" s="75">
        <f t="shared" si="1"/>
        <v>0</v>
      </c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</row>
    <row r="45" spans="1:57" x14ac:dyDescent="0.2">
      <c r="A45" s="49"/>
      <c r="B45" s="49"/>
      <c r="C45" s="50"/>
      <c r="D45" s="51"/>
      <c r="E45" s="51"/>
      <c r="F45" s="51"/>
      <c r="G45" s="51"/>
      <c r="H45" s="51"/>
      <c r="I45" s="68">
        <f>INDEX(Inputs!$J$64:$J$66,MATCH('Scenario D'!J45,Inputs!$D$64:$D$66,0))</f>
        <v>1</v>
      </c>
      <c r="J45" s="104" t="s">
        <v>38</v>
      </c>
      <c r="K45" s="105" t="str">
        <f>'Base Case'!K45</f>
        <v>[Spare]</v>
      </c>
      <c r="L45" s="106"/>
      <c r="M45" s="106"/>
      <c r="N45" s="107"/>
      <c r="O45" s="69">
        <v>0</v>
      </c>
      <c r="P45" s="71">
        <v>0</v>
      </c>
      <c r="Q45" s="71">
        <v>0</v>
      </c>
      <c r="R45" s="71">
        <v>0</v>
      </c>
      <c r="S45" s="72">
        <v>0</v>
      </c>
      <c r="T45" s="73">
        <f>'Base Case'!$T45</f>
        <v>0</v>
      </c>
      <c r="U45" s="74">
        <f t="shared" si="0"/>
        <v>0</v>
      </c>
      <c r="V45" s="75">
        <f t="shared" si="1"/>
        <v>0</v>
      </c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</row>
    <row r="46" spans="1:57" x14ac:dyDescent="0.2">
      <c r="A46" s="49"/>
      <c r="B46" s="49"/>
      <c r="C46" s="50"/>
      <c r="D46" s="51"/>
      <c r="E46" s="51"/>
      <c r="F46" s="51"/>
      <c r="G46" s="51"/>
      <c r="H46" s="51"/>
      <c r="I46" s="78">
        <f>INDEX(Inputs!$J$64:$J$66,MATCH('Scenario D'!J46,Inputs!$D$64:$D$66,0))</f>
        <v>1</v>
      </c>
      <c r="J46" s="108" t="s">
        <v>38</v>
      </c>
      <c r="K46" s="109" t="str">
        <f>'Base Case'!K46</f>
        <v>[Spare]</v>
      </c>
      <c r="L46" s="110"/>
      <c r="M46" s="110"/>
      <c r="N46" s="111"/>
      <c r="O46" s="79">
        <v>0</v>
      </c>
      <c r="P46" s="80">
        <v>0</v>
      </c>
      <c r="Q46" s="80">
        <v>0</v>
      </c>
      <c r="R46" s="80">
        <v>0</v>
      </c>
      <c r="S46" s="81">
        <v>0</v>
      </c>
      <c r="T46" s="144">
        <f>'Base Case'!$T46</f>
        <v>0</v>
      </c>
      <c r="U46" s="83">
        <f t="shared" si="0"/>
        <v>0</v>
      </c>
      <c r="V46" s="84">
        <f t="shared" si="1"/>
        <v>0</v>
      </c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</row>
    <row r="47" spans="1:57" x14ac:dyDescent="0.2">
      <c r="A47" s="49"/>
      <c r="B47" s="49"/>
      <c r="C47" s="50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57" x14ac:dyDescent="0.2">
      <c r="A48" s="49"/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</row>
    <row r="49" spans="1:57" x14ac:dyDescent="0.2">
      <c r="A49" s="49"/>
      <c r="B49" s="49"/>
      <c r="C49" s="50"/>
      <c r="D49" s="51"/>
      <c r="E49" s="51"/>
      <c r="F49" s="51"/>
      <c r="G49" s="51"/>
      <c r="H49" s="51"/>
      <c r="I49" s="85">
        <f>INDEX(Inputs!$J$64:$J$66,MATCH('Scenario D'!J49,Inputs!$D$64:$D$66,0))</f>
        <v>1</v>
      </c>
      <c r="J49" s="86" t="s">
        <v>38</v>
      </c>
      <c r="K49" s="51"/>
      <c r="L49" s="51"/>
      <c r="M49" s="51"/>
      <c r="N49" s="51"/>
      <c r="O49" s="70">
        <f>SUMIF($I$17:$I$46,$I49,O$17:O$46)</f>
        <v>438144.75072260486</v>
      </c>
      <c r="P49" s="70">
        <f t="shared" ref="P49:V49" si="2">SUMIF($I$17:$I$46,$I49,P$17:P$46)</f>
        <v>6517.2332258448641</v>
      </c>
      <c r="Q49" s="70">
        <f t="shared" si="2"/>
        <v>46631.150442477883</v>
      </c>
      <c r="R49" s="70">
        <f t="shared" si="2"/>
        <v>42341.084601769915</v>
      </c>
      <c r="S49" s="70">
        <f t="shared" si="2"/>
        <v>13336.509026548676</v>
      </c>
      <c r="T49" s="56">
        <f>U49/SUM(O49:S49)</f>
        <v>0.99999999999999978</v>
      </c>
      <c r="U49" s="70">
        <f t="shared" si="2"/>
        <v>546970.72801924613</v>
      </c>
      <c r="V49" s="70">
        <f t="shared" si="2"/>
        <v>108825.97729664134</v>
      </c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</row>
    <row r="50" spans="1:57" x14ac:dyDescent="0.2">
      <c r="A50" s="49"/>
      <c r="B50" s="49"/>
      <c r="C50" s="50"/>
      <c r="D50" s="51"/>
      <c r="E50" s="51"/>
      <c r="F50" s="51"/>
      <c r="G50" s="51"/>
      <c r="H50" s="51"/>
      <c r="I50" s="85">
        <f>INDEX(Inputs!$J$64:$J$66,MATCH('Scenario D'!J50,Inputs!$D$64:$D$66,0))</f>
        <v>2</v>
      </c>
      <c r="J50" s="86" t="s">
        <v>39</v>
      </c>
      <c r="K50" s="51"/>
      <c r="L50" s="51"/>
      <c r="M50" s="51"/>
      <c r="N50" s="51"/>
      <c r="O50" s="70">
        <f t="shared" ref="O50:V51" si="3">SUMIF($I$17:$I$46,$I50,O$17:O$46)</f>
        <v>26300701.327374041</v>
      </c>
      <c r="P50" s="70">
        <f t="shared" si="3"/>
        <v>32586.166129224315</v>
      </c>
      <c r="Q50" s="70">
        <f t="shared" si="3"/>
        <v>13702444.125551842</v>
      </c>
      <c r="R50" s="70">
        <f t="shared" si="3"/>
        <v>7596042.0044428306</v>
      </c>
      <c r="S50" s="70">
        <f t="shared" si="3"/>
        <v>104868.27610619471</v>
      </c>
      <c r="T50" s="56">
        <f t="shared" ref="T50:T51" si="4">U50/SUM(O50:S50)</f>
        <v>1</v>
      </c>
      <c r="U50" s="70">
        <f t="shared" si="3"/>
        <v>47736641.899604134</v>
      </c>
      <c r="V50" s="70">
        <f t="shared" si="3"/>
        <v>21435940.572230089</v>
      </c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</row>
    <row r="51" spans="1:57" x14ac:dyDescent="0.2">
      <c r="A51" s="49"/>
      <c r="B51" s="49"/>
      <c r="C51" s="50"/>
      <c r="D51" s="51"/>
      <c r="E51" s="51"/>
      <c r="F51" s="51"/>
      <c r="G51" s="51"/>
      <c r="H51" s="51"/>
      <c r="I51" s="85">
        <f>INDEX(Inputs!$J$64:$J$66,MATCH('Scenario D'!J51,Inputs!$D$64:$D$66,0))</f>
        <v>3</v>
      </c>
      <c r="J51" s="86" t="s">
        <v>40</v>
      </c>
      <c r="K51" s="87"/>
      <c r="L51" s="87"/>
      <c r="M51" s="87"/>
      <c r="N51" s="87"/>
      <c r="O51" s="70">
        <f t="shared" si="3"/>
        <v>0</v>
      </c>
      <c r="P51" s="70">
        <f t="shared" si="3"/>
        <v>0</v>
      </c>
      <c r="Q51" s="70">
        <f t="shared" si="3"/>
        <v>0</v>
      </c>
      <c r="R51" s="70">
        <f t="shared" si="3"/>
        <v>0</v>
      </c>
      <c r="S51" s="70">
        <f t="shared" si="3"/>
        <v>0</v>
      </c>
      <c r="T51" s="56" t="e">
        <f t="shared" si="4"/>
        <v>#DIV/0!</v>
      </c>
      <c r="U51" s="70">
        <f t="shared" si="3"/>
        <v>0</v>
      </c>
      <c r="V51" s="70">
        <f t="shared" si="3"/>
        <v>0</v>
      </c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</row>
    <row r="52" spans="1:57" x14ac:dyDescent="0.2">
      <c r="A52" s="49"/>
      <c r="B52" s="49"/>
      <c r="C52" s="50"/>
      <c r="D52" s="51"/>
      <c r="E52" s="51"/>
      <c r="F52" s="51"/>
      <c r="G52" s="51"/>
      <c r="H52" s="51"/>
      <c r="I52" s="87" t="s">
        <v>163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8">
        <f>SUM(U49:U51)</f>
        <v>48283612.627623379</v>
      </c>
      <c r="V52" s="88">
        <f>SUM(V49:V51)</f>
        <v>21544766.549526732</v>
      </c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</row>
    <row r="53" spans="1:57" x14ac:dyDescent="0.2">
      <c r="A53" s="49"/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</row>
    <row r="54" spans="1:57" x14ac:dyDescent="0.2">
      <c r="A54" s="52" t="str">
        <f>C8&amp;" "&amp;I8&amp;": PoE, Load and VCR assumptions"</f>
        <v>Scenario D: PoE, Load and VCR assumptions</v>
      </c>
      <c r="B54" s="52"/>
      <c r="C54" s="53"/>
      <c r="D54" s="54"/>
      <c r="E54" s="54"/>
      <c r="F54" s="54"/>
      <c r="G54" s="54"/>
      <c r="H54" s="54"/>
      <c r="I54" s="54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">
      <c r="A55" s="49"/>
      <c r="B55" s="49"/>
      <c r="C55" s="50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</row>
    <row r="56" spans="1:57" x14ac:dyDescent="0.2">
      <c r="A56" s="49"/>
      <c r="B56" s="49" t="s">
        <v>50</v>
      </c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</row>
    <row r="57" spans="1:57" x14ac:dyDescent="0.2">
      <c r="A57" s="49"/>
      <c r="B57" s="49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</row>
    <row r="58" spans="1:57" x14ac:dyDescent="0.2">
      <c r="A58" s="49"/>
      <c r="B58" s="49"/>
      <c r="C58" s="50" t="s">
        <v>51</v>
      </c>
      <c r="D58" s="51"/>
      <c r="E58" s="51"/>
      <c r="F58" s="51"/>
      <c r="G58" s="51"/>
      <c r="H58" s="51"/>
      <c r="I58" s="51"/>
      <c r="J58" s="89">
        <f>Inputs!J79</f>
        <v>1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</row>
    <row r="59" spans="1:57" x14ac:dyDescent="0.2">
      <c r="A59" s="49"/>
      <c r="B59" s="49"/>
      <c r="C59" s="50" t="s">
        <v>52</v>
      </c>
      <c r="D59" s="51"/>
      <c r="E59" s="51"/>
      <c r="F59" s="51"/>
      <c r="G59" s="51"/>
      <c r="H59" s="51"/>
      <c r="I59" s="51"/>
      <c r="J59" s="70">
        <f>Inputs!J80</f>
        <v>58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</row>
    <row r="60" spans="1:57" x14ac:dyDescent="0.2">
      <c r="A60" s="49"/>
      <c r="B60" s="49"/>
      <c r="C60" s="50"/>
      <c r="D60" s="51" t="s">
        <v>53</v>
      </c>
      <c r="E60" s="51"/>
      <c r="F60" s="51"/>
      <c r="G60" s="51"/>
      <c r="H60" s="51"/>
      <c r="I60" s="51"/>
      <c r="J60" s="70">
        <f>Inputs!J81</f>
        <v>29</v>
      </c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</row>
    <row r="61" spans="1:57" x14ac:dyDescent="0.2">
      <c r="A61" s="49"/>
      <c r="B61" s="49"/>
      <c r="C61" s="50"/>
      <c r="D61" s="51" t="s">
        <v>54</v>
      </c>
      <c r="E61" s="51"/>
      <c r="F61" s="51"/>
      <c r="G61" s="51"/>
      <c r="H61" s="51"/>
      <c r="I61" s="51"/>
      <c r="J61" s="70">
        <f>Inputs!J82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</row>
    <row r="62" spans="1:57" x14ac:dyDescent="0.2">
      <c r="A62" s="49"/>
      <c r="B62" s="49"/>
      <c r="C62" s="50"/>
      <c r="D62" s="51" t="s">
        <v>55</v>
      </c>
      <c r="E62" s="51"/>
      <c r="F62" s="51"/>
      <c r="G62" s="51"/>
      <c r="H62" s="51"/>
      <c r="I62" s="51"/>
      <c r="J62" s="70">
        <f>Inputs!J83</f>
        <v>0</v>
      </c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</row>
    <row r="63" spans="1:57" x14ac:dyDescent="0.2">
      <c r="A63" s="49"/>
      <c r="B63" s="49"/>
      <c r="C63" s="50"/>
      <c r="D63" s="51" t="s">
        <v>56</v>
      </c>
      <c r="E63" s="51"/>
      <c r="F63" s="51"/>
      <c r="G63" s="51"/>
      <c r="H63" s="51"/>
      <c r="I63" s="51"/>
      <c r="J63" s="70">
        <f>Inputs!J84</f>
        <v>0</v>
      </c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</row>
    <row r="64" spans="1:57" x14ac:dyDescent="0.2">
      <c r="A64" s="49"/>
      <c r="B64" s="49"/>
      <c r="C64" s="50"/>
      <c r="D64" s="87" t="s">
        <v>57</v>
      </c>
      <c r="E64" s="87"/>
      <c r="F64" s="87"/>
      <c r="G64" s="87"/>
      <c r="H64" s="87"/>
      <c r="I64" s="87"/>
      <c r="J64" s="70">
        <f>Inputs!J85</f>
        <v>16.509999999999998</v>
      </c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</row>
    <row r="65" spans="1:57" x14ac:dyDescent="0.2">
      <c r="A65" s="49"/>
      <c r="B65" s="49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</row>
    <row r="66" spans="1:57" x14ac:dyDescent="0.2">
      <c r="A66" s="49"/>
      <c r="B66" s="49" t="str">
        <f>Inputs!B182</f>
        <v>Probability of exceedance (PoE) forecast, Mega Volt Ampere (MVA)</v>
      </c>
      <c r="C66" s="50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</row>
    <row r="67" spans="1:57" x14ac:dyDescent="0.2">
      <c r="A67" s="49"/>
      <c r="B67" s="49"/>
      <c r="C67" s="50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</row>
    <row r="68" spans="1:57" x14ac:dyDescent="0.2">
      <c r="A68" s="49"/>
      <c r="B68" s="49"/>
      <c r="C68" s="50" t="str">
        <f>Inputs!C184</f>
        <v>PoE forecast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</row>
    <row r="69" spans="1:57" x14ac:dyDescent="0.2">
      <c r="A69" s="49"/>
      <c r="B69" s="49"/>
      <c r="C69" s="50"/>
      <c r="D69" s="51" t="str">
        <f>Inputs!D185</f>
        <v>10% PoE forecast, MVA</v>
      </c>
      <c r="E69" s="51"/>
      <c r="F69" s="51"/>
      <c r="G69" s="51"/>
      <c r="H69" s="51"/>
      <c r="I69" s="51"/>
      <c r="J69" s="90">
        <f>Inputs!J185</f>
        <v>0.1</v>
      </c>
      <c r="K69" s="51"/>
      <c r="L69" s="51"/>
      <c r="M69" s="51"/>
      <c r="N69" s="51"/>
      <c r="O69" s="70">
        <f>Inputs!O185*$I$12</f>
        <v>34.622699999999995</v>
      </c>
      <c r="P69" s="70">
        <f>Inputs!P185*$I$12</f>
        <v>34.976550000000003</v>
      </c>
      <c r="Q69" s="70">
        <f>Inputs!Q185*$I$12</f>
        <v>34.478850000000008</v>
      </c>
      <c r="R69" s="70">
        <f>Inputs!R185*$I$12</f>
        <v>34.910399999999996</v>
      </c>
      <c r="S69" s="70">
        <f>Inputs!S185*$I$12</f>
        <v>35.355599999999995</v>
      </c>
      <c r="T69" s="70">
        <f>Inputs!T185*$I$12</f>
        <v>36.174599999999998</v>
      </c>
      <c r="U69" s="70">
        <f>Inputs!U185*$I$12</f>
        <v>37.647749999999995</v>
      </c>
      <c r="V69" s="70">
        <f>Inputs!V185*$I$12</f>
        <v>37.647749999999995</v>
      </c>
      <c r="W69" s="70">
        <f>Inputs!W185*$I$12</f>
        <v>37.647749999999995</v>
      </c>
      <c r="X69" s="70">
        <f>Inputs!X185*$I$12</f>
        <v>37.647749999999995</v>
      </c>
      <c r="Y69" s="70">
        <f>Inputs!Y185*$I$12</f>
        <v>37.647749999999995</v>
      </c>
      <c r="Z69" s="70">
        <f>Inputs!Z185*$I$12</f>
        <v>37.647749999999995</v>
      </c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</row>
    <row r="70" spans="1:57" x14ac:dyDescent="0.2">
      <c r="A70" s="49"/>
      <c r="B70" s="49"/>
      <c r="C70" s="50"/>
      <c r="D70" s="87" t="str">
        <f>Inputs!D186</f>
        <v>50% PoE forecast, MVA</v>
      </c>
      <c r="E70" s="87"/>
      <c r="F70" s="87"/>
      <c r="G70" s="87"/>
      <c r="H70" s="87"/>
      <c r="I70" s="87"/>
      <c r="J70" s="90">
        <f>Inputs!J186</f>
        <v>0.5</v>
      </c>
      <c r="K70" s="87"/>
      <c r="L70" s="87"/>
      <c r="M70" s="87"/>
      <c r="N70" s="87"/>
      <c r="O70" s="70">
        <f>Inputs!O186*$I$12</f>
        <v>32.354700000000001</v>
      </c>
      <c r="P70" s="70">
        <f>Inputs!P186*$I$12</f>
        <v>32.34525</v>
      </c>
      <c r="Q70" s="70">
        <f>Inputs!Q186*$I$12</f>
        <v>32.368350000000007</v>
      </c>
      <c r="R70" s="70">
        <f>Inputs!R186*$I$12</f>
        <v>32.809350000000002</v>
      </c>
      <c r="S70" s="70">
        <f>Inputs!S186*$I$12</f>
        <v>32.9343</v>
      </c>
      <c r="T70" s="70">
        <f>Inputs!T186*$I$12</f>
        <v>33.984300000000005</v>
      </c>
      <c r="U70" s="70">
        <f>Inputs!U186*$I$12</f>
        <v>34.692</v>
      </c>
      <c r="V70" s="70">
        <f>Inputs!V186*$I$12</f>
        <v>34.692</v>
      </c>
      <c r="W70" s="70">
        <f>Inputs!W186*$I$12</f>
        <v>34.692</v>
      </c>
      <c r="X70" s="70">
        <f>Inputs!X186*$I$12</f>
        <v>34.692</v>
      </c>
      <c r="Y70" s="70">
        <f>Inputs!Y186*$I$12</f>
        <v>34.692</v>
      </c>
      <c r="Z70" s="70">
        <f>Inputs!Z186*$I$12</f>
        <v>34.692</v>
      </c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</row>
    <row r="71" spans="1:57" x14ac:dyDescent="0.2">
      <c r="A71" s="49"/>
      <c r="B71" s="49"/>
      <c r="C71" s="50"/>
      <c r="D71" s="51" t="str">
        <f>Inputs!D187</f>
        <v>Selected</v>
      </c>
      <c r="E71" s="51"/>
      <c r="F71" s="51"/>
      <c r="G71" s="51"/>
      <c r="H71" s="51"/>
      <c r="I71" s="51"/>
      <c r="J71" s="91">
        <f>Inputs!J187</f>
        <v>0.7</v>
      </c>
      <c r="K71" s="51"/>
      <c r="L71" s="51"/>
      <c r="M71" s="51"/>
      <c r="N71" s="51"/>
      <c r="O71" s="70">
        <f>Inputs!O187*$I$12</f>
        <v>33.0351</v>
      </c>
      <c r="P71" s="70">
        <f>Inputs!P187*$I$12</f>
        <v>33.134639999999997</v>
      </c>
      <c r="Q71" s="70">
        <f>Inputs!Q187*$I$12</f>
        <v>33.001500000000007</v>
      </c>
      <c r="R71" s="70">
        <f>Inputs!R187*$I$12</f>
        <v>33.439664999999998</v>
      </c>
      <c r="S71" s="70">
        <f>Inputs!S187*$I$12</f>
        <v>33.660690000000002</v>
      </c>
      <c r="T71" s="70">
        <f>Inputs!T187*$I$12</f>
        <v>34.641390000000001</v>
      </c>
      <c r="U71" s="70">
        <f>Inputs!U187*$I$12</f>
        <v>35.578724999999999</v>
      </c>
      <c r="V71" s="70">
        <f>Inputs!V187*$I$12</f>
        <v>35.578724999999999</v>
      </c>
      <c r="W71" s="70">
        <f>Inputs!W187*$I$12</f>
        <v>35.578724999999999</v>
      </c>
      <c r="X71" s="70">
        <f>Inputs!X187*$I$12</f>
        <v>35.578724999999999</v>
      </c>
      <c r="Y71" s="70">
        <f>Inputs!Y187*$I$12</f>
        <v>35.578724999999999</v>
      </c>
      <c r="Z71" s="70">
        <f>Inputs!Z187*$I$12</f>
        <v>35.578724999999999</v>
      </c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</row>
    <row r="72" spans="1:57" x14ac:dyDescent="0.2">
      <c r="A72" s="49"/>
      <c r="B72" s="49"/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</row>
    <row r="73" spans="1:57" x14ac:dyDescent="0.2">
      <c r="A73" s="49"/>
      <c r="B73" s="49" t="str">
        <f>Inputs!B189</f>
        <v>Load at risk</v>
      </c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</row>
    <row r="74" spans="1:57" x14ac:dyDescent="0.2">
      <c r="A74" s="49"/>
      <c r="B74" s="49"/>
      <c r="C74" s="50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</row>
    <row r="75" spans="1:57" x14ac:dyDescent="0.2">
      <c r="A75" s="49"/>
      <c r="B75" s="49"/>
      <c r="C75" s="50" t="str">
        <f>Inputs!C191</f>
        <v>Selected profile, MVA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</row>
    <row r="76" spans="1:57" x14ac:dyDescent="0.2">
      <c r="A76" s="49"/>
      <c r="B76" s="49"/>
      <c r="C76" s="50"/>
      <c r="D76" s="51" t="s">
        <v>141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70">
        <f>MAX(0,O$71-$J$64-$J59)</f>
        <v>0</v>
      </c>
      <c r="P76" s="70">
        <f t="shared" ref="P76:Z80" si="5">MAX(0,P$71-$J$64-$J59)</f>
        <v>0</v>
      </c>
      <c r="Q76" s="70">
        <f t="shared" si="5"/>
        <v>0</v>
      </c>
      <c r="R76" s="70">
        <f t="shared" si="5"/>
        <v>0</v>
      </c>
      <c r="S76" s="70">
        <f t="shared" si="5"/>
        <v>0</v>
      </c>
      <c r="T76" s="70">
        <f t="shared" si="5"/>
        <v>0</v>
      </c>
      <c r="U76" s="70">
        <f t="shared" si="5"/>
        <v>0</v>
      </c>
      <c r="V76" s="70">
        <f t="shared" si="5"/>
        <v>0</v>
      </c>
      <c r="W76" s="70">
        <f t="shared" si="5"/>
        <v>0</v>
      </c>
      <c r="X76" s="70">
        <f t="shared" si="5"/>
        <v>0</v>
      </c>
      <c r="Y76" s="70">
        <f t="shared" si="5"/>
        <v>0</v>
      </c>
      <c r="Z76" s="70">
        <f t="shared" si="5"/>
        <v>0</v>
      </c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</row>
    <row r="77" spans="1:57" x14ac:dyDescent="0.2">
      <c r="A77" s="49"/>
      <c r="B77" s="49"/>
      <c r="C77" s="50"/>
      <c r="D77" s="51" t="s">
        <v>142</v>
      </c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70">
        <f>MAX(0,O$71-$J$64-$J60)</f>
        <v>0</v>
      </c>
      <c r="P77" s="70">
        <f t="shared" si="5"/>
        <v>0</v>
      </c>
      <c r="Q77" s="70">
        <f t="shared" si="5"/>
        <v>0</v>
      </c>
      <c r="R77" s="70">
        <f t="shared" si="5"/>
        <v>0</v>
      </c>
      <c r="S77" s="70">
        <f t="shared" si="5"/>
        <v>0</v>
      </c>
      <c r="T77" s="70">
        <f t="shared" si="5"/>
        <v>0</v>
      </c>
      <c r="U77" s="70">
        <f t="shared" si="5"/>
        <v>0</v>
      </c>
      <c r="V77" s="70">
        <f t="shared" si="5"/>
        <v>0</v>
      </c>
      <c r="W77" s="70">
        <f t="shared" si="5"/>
        <v>0</v>
      </c>
      <c r="X77" s="70">
        <f t="shared" si="5"/>
        <v>0</v>
      </c>
      <c r="Y77" s="70">
        <f t="shared" si="5"/>
        <v>0</v>
      </c>
      <c r="Z77" s="70">
        <f t="shared" si="5"/>
        <v>0</v>
      </c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</row>
    <row r="78" spans="1:57" x14ac:dyDescent="0.2">
      <c r="A78" s="49"/>
      <c r="B78" s="49"/>
      <c r="C78" s="50"/>
      <c r="D78" s="51" t="s">
        <v>143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70">
        <f>MAX(0,O$71-$J$64-$J61)</f>
        <v>16.525100000000002</v>
      </c>
      <c r="P78" s="70">
        <f t="shared" si="5"/>
        <v>16.624639999999999</v>
      </c>
      <c r="Q78" s="70">
        <f t="shared" si="5"/>
        <v>16.491500000000009</v>
      </c>
      <c r="R78" s="70">
        <f t="shared" si="5"/>
        <v>16.929665</v>
      </c>
      <c r="S78" s="70">
        <f t="shared" si="5"/>
        <v>17.150690000000004</v>
      </c>
      <c r="T78" s="70">
        <f t="shared" si="5"/>
        <v>18.131390000000003</v>
      </c>
      <c r="U78" s="70">
        <f t="shared" si="5"/>
        <v>19.068725000000001</v>
      </c>
      <c r="V78" s="70">
        <f t="shared" si="5"/>
        <v>19.068725000000001</v>
      </c>
      <c r="W78" s="70">
        <f t="shared" si="5"/>
        <v>19.068725000000001</v>
      </c>
      <c r="X78" s="70">
        <f t="shared" si="5"/>
        <v>19.068725000000001</v>
      </c>
      <c r="Y78" s="70">
        <f t="shared" si="5"/>
        <v>19.068725000000001</v>
      </c>
      <c r="Z78" s="70">
        <f t="shared" si="5"/>
        <v>19.068725000000001</v>
      </c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</row>
    <row r="79" spans="1:57" x14ac:dyDescent="0.2">
      <c r="A79" s="49"/>
      <c r="B79" s="49"/>
      <c r="C79" s="50"/>
      <c r="D79" s="51" t="s">
        <v>144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70">
        <f>MAX(0,O$71-$J$64-$J62)</f>
        <v>16.525100000000002</v>
      </c>
      <c r="P79" s="70">
        <f t="shared" si="5"/>
        <v>16.624639999999999</v>
      </c>
      <c r="Q79" s="70">
        <f t="shared" si="5"/>
        <v>16.491500000000009</v>
      </c>
      <c r="R79" s="70">
        <f t="shared" si="5"/>
        <v>16.929665</v>
      </c>
      <c r="S79" s="70">
        <f t="shared" si="5"/>
        <v>17.150690000000004</v>
      </c>
      <c r="T79" s="70">
        <f t="shared" si="5"/>
        <v>18.131390000000003</v>
      </c>
      <c r="U79" s="70">
        <f t="shared" si="5"/>
        <v>19.068725000000001</v>
      </c>
      <c r="V79" s="70">
        <f t="shared" si="5"/>
        <v>19.068725000000001</v>
      </c>
      <c r="W79" s="70">
        <f t="shared" si="5"/>
        <v>19.068725000000001</v>
      </c>
      <c r="X79" s="70">
        <f t="shared" si="5"/>
        <v>19.068725000000001</v>
      </c>
      <c r="Y79" s="70">
        <f t="shared" si="5"/>
        <v>19.068725000000001</v>
      </c>
      <c r="Z79" s="70">
        <f t="shared" si="5"/>
        <v>19.068725000000001</v>
      </c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</row>
    <row r="80" spans="1:57" x14ac:dyDescent="0.2">
      <c r="A80" s="49"/>
      <c r="B80" s="49"/>
      <c r="C80" s="50"/>
      <c r="D80" s="87" t="s">
        <v>145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70">
        <f>MAX(0,O$71-$J$64-$J63)</f>
        <v>16.525100000000002</v>
      </c>
      <c r="P80" s="70">
        <f t="shared" si="5"/>
        <v>16.624639999999999</v>
      </c>
      <c r="Q80" s="70">
        <f t="shared" si="5"/>
        <v>16.491500000000009</v>
      </c>
      <c r="R80" s="70">
        <f t="shared" si="5"/>
        <v>16.929665</v>
      </c>
      <c r="S80" s="70">
        <f t="shared" si="5"/>
        <v>17.150690000000004</v>
      </c>
      <c r="T80" s="70">
        <f t="shared" si="5"/>
        <v>18.131390000000003</v>
      </c>
      <c r="U80" s="70">
        <f t="shared" si="5"/>
        <v>19.068725000000001</v>
      </c>
      <c r="V80" s="70">
        <f t="shared" si="5"/>
        <v>19.068725000000001</v>
      </c>
      <c r="W80" s="70">
        <f t="shared" si="5"/>
        <v>19.068725000000001</v>
      </c>
      <c r="X80" s="70">
        <f t="shared" si="5"/>
        <v>19.068725000000001</v>
      </c>
      <c r="Y80" s="70">
        <f t="shared" si="5"/>
        <v>19.068725000000001</v>
      </c>
      <c r="Z80" s="70">
        <f t="shared" si="5"/>
        <v>19.068725000000001</v>
      </c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</row>
    <row r="81" spans="1:57" x14ac:dyDescent="0.2">
      <c r="A81" s="49"/>
      <c r="B81" s="49"/>
      <c r="C81" s="50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</row>
    <row r="82" spans="1:57" x14ac:dyDescent="0.2">
      <c r="A82" s="49"/>
      <c r="B82" s="49" t="s">
        <v>164</v>
      </c>
      <c r="C82" s="50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</row>
    <row r="83" spans="1:57" x14ac:dyDescent="0.2">
      <c r="A83" s="49"/>
      <c r="B83" s="49"/>
      <c r="C83" s="50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</row>
    <row r="84" spans="1:57" x14ac:dyDescent="0.2">
      <c r="A84" s="49"/>
      <c r="B84" s="49"/>
      <c r="C84" s="50" t="s">
        <v>165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</row>
    <row r="85" spans="1:57" x14ac:dyDescent="0.2">
      <c r="A85" s="49"/>
      <c r="B85" s="49"/>
      <c r="C85" s="50"/>
      <c r="D85" s="51"/>
      <c r="E85" s="51" t="s">
        <v>166</v>
      </c>
      <c r="F85" s="51"/>
      <c r="G85" s="51"/>
      <c r="H85" s="51"/>
      <c r="I85" s="51"/>
      <c r="J85" s="51"/>
      <c r="K85" s="51"/>
      <c r="L85" s="51"/>
      <c r="M85" s="51"/>
      <c r="N85" s="51"/>
      <c r="O85" s="70">
        <f>ROUNDUP(ROUNDUP(O76/Inputs!$J$114,0)/(Inputs!$J$118*Inputs!$J$115*Inputs!$J$114),0)+1</f>
        <v>1</v>
      </c>
      <c r="P85" s="70">
        <f>ROUNDUP(ROUNDUP(P76/Inputs!$J$114,0)/(Inputs!$J$118*Inputs!$J$115*Inputs!$J$114),0)+1</f>
        <v>1</v>
      </c>
      <c r="Q85" s="70">
        <f>ROUNDUP(ROUNDUP(Q76/Inputs!$J$114,0)/(Inputs!$J$118*Inputs!$J$115*Inputs!$J$114),0)+1</f>
        <v>1</v>
      </c>
      <c r="R85" s="70">
        <f>ROUNDUP(ROUNDUP(R76/Inputs!$J$114,0)/(Inputs!$J$118*Inputs!$J$115*Inputs!$J$114),0)+1</f>
        <v>1</v>
      </c>
      <c r="S85" s="70">
        <f>ROUNDUP(ROUNDUP(S76/Inputs!$J$114,0)/(Inputs!$J$118*Inputs!$J$115*Inputs!$J$114),0)+1</f>
        <v>1</v>
      </c>
      <c r="T85" s="70">
        <f>ROUNDUP(ROUNDUP(T76/Inputs!$J$114,0)/(Inputs!$J$118*Inputs!$J$115*Inputs!$J$114),0)+1</f>
        <v>1</v>
      </c>
      <c r="U85" s="70">
        <f>ROUNDUP(ROUNDUP(U76/Inputs!$J$114,0)/(Inputs!$J$118*Inputs!$J$115*Inputs!$J$114),0)+1</f>
        <v>1</v>
      </c>
      <c r="V85" s="70">
        <f>ROUNDUP(ROUNDUP(V76/Inputs!$J$114,0)/(Inputs!$J$118*Inputs!$J$115*Inputs!$J$114),0)+1</f>
        <v>1</v>
      </c>
      <c r="W85" s="70">
        <f>ROUNDUP(ROUNDUP(W76/Inputs!$J$114,0)/(Inputs!$J$118*Inputs!$J$115*Inputs!$J$114),0)+1</f>
        <v>1</v>
      </c>
      <c r="X85" s="70">
        <f>ROUNDUP(ROUNDUP(X76/Inputs!$J$114,0)/(Inputs!$J$118*Inputs!$J$115*Inputs!$J$114),0)+1</f>
        <v>1</v>
      </c>
      <c r="Y85" s="70">
        <f>ROUNDUP(ROUNDUP(Y76/Inputs!$J$114,0)/(Inputs!$J$118*Inputs!$J$115*Inputs!$J$114),0)+1</f>
        <v>1</v>
      </c>
      <c r="Z85" s="70">
        <f>ROUNDUP(ROUNDUP(Z76/Inputs!$J$114,0)/(Inputs!$J$118*Inputs!$J$115*Inputs!$J$114),0)+1</f>
        <v>1</v>
      </c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</row>
    <row r="86" spans="1:57" x14ac:dyDescent="0.2">
      <c r="A86" s="49"/>
      <c r="B86" s="49"/>
      <c r="C86" s="50"/>
      <c r="D86" s="51"/>
      <c r="E86" s="87" t="s">
        <v>167</v>
      </c>
      <c r="F86" s="87"/>
      <c r="G86" s="87"/>
      <c r="H86" s="87"/>
      <c r="I86" s="87"/>
      <c r="J86" s="87"/>
      <c r="K86" s="87"/>
      <c r="L86" s="87"/>
      <c r="M86" s="87"/>
      <c r="N86" s="87"/>
      <c r="O86" s="70">
        <f>MAX(0,((O85-1)-1)/2)</f>
        <v>0</v>
      </c>
      <c r="P86" s="70">
        <f t="shared" ref="P86:Z86" si="6">MAX(0,((P85-1)-1)/2)</f>
        <v>0</v>
      </c>
      <c r="Q86" s="70">
        <f t="shared" si="6"/>
        <v>0</v>
      </c>
      <c r="R86" s="70">
        <f t="shared" si="6"/>
        <v>0</v>
      </c>
      <c r="S86" s="70">
        <f t="shared" si="6"/>
        <v>0</v>
      </c>
      <c r="T86" s="70">
        <f t="shared" si="6"/>
        <v>0</v>
      </c>
      <c r="U86" s="70">
        <f t="shared" si="6"/>
        <v>0</v>
      </c>
      <c r="V86" s="70">
        <f t="shared" si="6"/>
        <v>0</v>
      </c>
      <c r="W86" s="70">
        <f t="shared" si="6"/>
        <v>0</v>
      </c>
      <c r="X86" s="70">
        <f t="shared" si="6"/>
        <v>0</v>
      </c>
      <c r="Y86" s="70">
        <f t="shared" si="6"/>
        <v>0</v>
      </c>
      <c r="Z86" s="70">
        <f t="shared" si="6"/>
        <v>0</v>
      </c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</row>
    <row r="87" spans="1:57" x14ac:dyDescent="0.2">
      <c r="A87" s="49"/>
      <c r="B87" s="49"/>
      <c r="C87" s="50"/>
      <c r="D87" s="92" t="str">
        <f>D76</f>
        <v>N</v>
      </c>
      <c r="E87" s="92" t="s">
        <v>165</v>
      </c>
      <c r="F87" s="92"/>
      <c r="G87" s="92"/>
      <c r="H87" s="92"/>
      <c r="I87" s="92"/>
      <c r="J87" s="92"/>
      <c r="K87" s="92"/>
      <c r="L87" s="92"/>
      <c r="M87" s="92"/>
      <c r="N87" s="92"/>
      <c r="O87" s="93">
        <f>IFERROR((O85-O86)/O85,0)*MAX(0,O85)</f>
        <v>1</v>
      </c>
      <c r="P87" s="93">
        <f t="shared" ref="P87:Z87" si="7">IFERROR((P85-P86)/P85,0)*MAX(0,P85)</f>
        <v>1</v>
      </c>
      <c r="Q87" s="93">
        <f t="shared" si="7"/>
        <v>1</v>
      </c>
      <c r="R87" s="93">
        <f t="shared" si="7"/>
        <v>1</v>
      </c>
      <c r="S87" s="93">
        <f t="shared" si="7"/>
        <v>1</v>
      </c>
      <c r="T87" s="93">
        <f t="shared" si="7"/>
        <v>1</v>
      </c>
      <c r="U87" s="93">
        <f t="shared" si="7"/>
        <v>1</v>
      </c>
      <c r="V87" s="93">
        <f t="shared" si="7"/>
        <v>1</v>
      </c>
      <c r="W87" s="93">
        <f t="shared" si="7"/>
        <v>1</v>
      </c>
      <c r="X87" s="93">
        <f t="shared" si="7"/>
        <v>1</v>
      </c>
      <c r="Y87" s="93">
        <f t="shared" si="7"/>
        <v>1</v>
      </c>
      <c r="Z87" s="93">
        <f t="shared" si="7"/>
        <v>1</v>
      </c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</row>
    <row r="88" spans="1:57" x14ac:dyDescent="0.2">
      <c r="A88" s="49"/>
      <c r="B88" s="49"/>
      <c r="C88" s="50"/>
      <c r="D88" s="51"/>
      <c r="E88" s="51" t="str">
        <f t="shared" ref="E88:E99" si="8">E85</f>
        <v>Unserved energy day 1</v>
      </c>
      <c r="F88" s="51"/>
      <c r="G88" s="51"/>
      <c r="H88" s="51"/>
      <c r="I88" s="51"/>
      <c r="J88" s="51"/>
      <c r="K88" s="51"/>
      <c r="L88" s="51"/>
      <c r="M88" s="51"/>
      <c r="N88" s="51"/>
      <c r="O88" s="70">
        <f>ROUNDUP(ROUNDUP(O77/Inputs!$J$114,0)/(Inputs!$J$118*Inputs!$J$115*Inputs!$J$114),0)+1</f>
        <v>1</v>
      </c>
      <c r="P88" s="70">
        <f>ROUNDUP(ROUNDUP(P77/Inputs!$J$114,0)/(Inputs!$J$118*Inputs!$J$115*Inputs!$J$114),0)+1</f>
        <v>1</v>
      </c>
      <c r="Q88" s="70">
        <f>ROUNDUP(ROUNDUP(Q77/Inputs!$J$114,0)/(Inputs!$J$118*Inputs!$J$115*Inputs!$J$114),0)+1</f>
        <v>1</v>
      </c>
      <c r="R88" s="70">
        <f>ROUNDUP(ROUNDUP(R77/Inputs!$J$114,0)/(Inputs!$J$118*Inputs!$J$115*Inputs!$J$114),0)+1</f>
        <v>1</v>
      </c>
      <c r="S88" s="70">
        <f>ROUNDUP(ROUNDUP(S77/Inputs!$J$114,0)/(Inputs!$J$118*Inputs!$J$115*Inputs!$J$114),0)+1</f>
        <v>1</v>
      </c>
      <c r="T88" s="70">
        <f>ROUNDUP(ROUNDUP(T77/Inputs!$J$114,0)/(Inputs!$J$118*Inputs!$J$115*Inputs!$J$114),0)+1</f>
        <v>1</v>
      </c>
      <c r="U88" s="70">
        <f>ROUNDUP(ROUNDUP(U77/Inputs!$J$114,0)/(Inputs!$J$118*Inputs!$J$115*Inputs!$J$114),0)+1</f>
        <v>1</v>
      </c>
      <c r="V88" s="70">
        <f>ROUNDUP(ROUNDUP(V77/Inputs!$J$114,0)/(Inputs!$J$118*Inputs!$J$115*Inputs!$J$114),0)+1</f>
        <v>1</v>
      </c>
      <c r="W88" s="70">
        <f>ROUNDUP(ROUNDUP(W77/Inputs!$J$114,0)/(Inputs!$J$118*Inputs!$J$115*Inputs!$J$114),0)+1</f>
        <v>1</v>
      </c>
      <c r="X88" s="70">
        <f>ROUNDUP(ROUNDUP(X77/Inputs!$J$114,0)/(Inputs!$J$118*Inputs!$J$115*Inputs!$J$114),0)+1</f>
        <v>1</v>
      </c>
      <c r="Y88" s="70">
        <f>ROUNDUP(ROUNDUP(Y77/Inputs!$J$114,0)/(Inputs!$J$118*Inputs!$J$115*Inputs!$J$114),0)+1</f>
        <v>1</v>
      </c>
      <c r="Z88" s="70">
        <f>ROUNDUP(ROUNDUP(Z77/Inputs!$J$114,0)/(Inputs!$J$118*Inputs!$J$115*Inputs!$J$114),0)+1</f>
        <v>1</v>
      </c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</row>
    <row r="89" spans="1:57" x14ac:dyDescent="0.2">
      <c r="A89" s="49"/>
      <c r="B89" s="49"/>
      <c r="C89" s="50"/>
      <c r="D89" s="51"/>
      <c r="E89" s="87" t="str">
        <f t="shared" si="8"/>
        <v>Unserved energy day 2</v>
      </c>
      <c r="F89" s="87"/>
      <c r="G89" s="87"/>
      <c r="H89" s="87"/>
      <c r="I89" s="87"/>
      <c r="J89" s="87"/>
      <c r="K89" s="87"/>
      <c r="L89" s="87"/>
      <c r="M89" s="87"/>
      <c r="N89" s="87"/>
      <c r="O89" s="70">
        <f>MAX(0,((O88-1)-1)/2)</f>
        <v>0</v>
      </c>
      <c r="P89" s="70">
        <f t="shared" ref="P89:Z89" si="9">MAX(0,((P88-1)-1)/2)</f>
        <v>0</v>
      </c>
      <c r="Q89" s="70">
        <f t="shared" si="9"/>
        <v>0</v>
      </c>
      <c r="R89" s="70">
        <f t="shared" si="9"/>
        <v>0</v>
      </c>
      <c r="S89" s="70">
        <f t="shared" si="9"/>
        <v>0</v>
      </c>
      <c r="T89" s="70">
        <f t="shared" si="9"/>
        <v>0</v>
      </c>
      <c r="U89" s="70">
        <f t="shared" si="9"/>
        <v>0</v>
      </c>
      <c r="V89" s="70">
        <f t="shared" si="9"/>
        <v>0</v>
      </c>
      <c r="W89" s="70">
        <f t="shared" si="9"/>
        <v>0</v>
      </c>
      <c r="X89" s="70">
        <f t="shared" si="9"/>
        <v>0</v>
      </c>
      <c r="Y89" s="70">
        <f t="shared" si="9"/>
        <v>0</v>
      </c>
      <c r="Z89" s="70">
        <f t="shared" si="9"/>
        <v>0</v>
      </c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</row>
    <row r="90" spans="1:57" x14ac:dyDescent="0.2">
      <c r="A90" s="49"/>
      <c r="B90" s="49"/>
      <c r="C90" s="50"/>
      <c r="D90" s="92" t="str">
        <f>D77</f>
        <v>N-1</v>
      </c>
      <c r="E90" s="92" t="str">
        <f t="shared" si="8"/>
        <v>Average load at risk (pu)</v>
      </c>
      <c r="F90" s="92"/>
      <c r="G90" s="92"/>
      <c r="H90" s="92"/>
      <c r="I90" s="92"/>
      <c r="J90" s="92"/>
      <c r="K90" s="92"/>
      <c r="L90" s="92"/>
      <c r="M90" s="92"/>
      <c r="N90" s="92"/>
      <c r="O90" s="93">
        <f>IFERROR((O88-O89)/O88,0)*MAX(0,O88)</f>
        <v>1</v>
      </c>
      <c r="P90" s="140">
        <f t="shared" ref="P90:Z90" si="10">IFERROR((P88-P89)/P88,0)*MAX(0,P88)</f>
        <v>1</v>
      </c>
      <c r="Q90" s="93">
        <f t="shared" si="10"/>
        <v>1</v>
      </c>
      <c r="R90" s="93">
        <f t="shared" si="10"/>
        <v>1</v>
      </c>
      <c r="S90" s="93">
        <f t="shared" si="10"/>
        <v>1</v>
      </c>
      <c r="T90" s="93">
        <f t="shared" si="10"/>
        <v>1</v>
      </c>
      <c r="U90" s="93">
        <f t="shared" si="10"/>
        <v>1</v>
      </c>
      <c r="V90" s="93">
        <f t="shared" si="10"/>
        <v>1</v>
      </c>
      <c r="W90" s="93">
        <f t="shared" si="10"/>
        <v>1</v>
      </c>
      <c r="X90" s="93">
        <f t="shared" si="10"/>
        <v>1</v>
      </c>
      <c r="Y90" s="93">
        <f t="shared" si="10"/>
        <v>1</v>
      </c>
      <c r="Z90" s="93">
        <f t="shared" si="10"/>
        <v>1</v>
      </c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</row>
    <row r="91" spans="1:57" x14ac:dyDescent="0.2">
      <c r="A91" s="49"/>
      <c r="B91" s="49"/>
      <c r="C91" s="50"/>
      <c r="D91" s="51"/>
      <c r="E91" s="51" t="str">
        <f t="shared" si="8"/>
        <v>Unserved energy day 1</v>
      </c>
      <c r="F91" s="51"/>
      <c r="G91" s="51"/>
      <c r="H91" s="51"/>
      <c r="I91" s="51"/>
      <c r="J91" s="51"/>
      <c r="K91" s="51"/>
      <c r="L91" s="51"/>
      <c r="M91" s="51"/>
      <c r="N91" s="51"/>
      <c r="O91" s="70">
        <f>ROUNDUP(ROUNDUP(O78/Inputs!$J$114,0)/(Inputs!$J$118*Inputs!$J$115*Inputs!$J$114),0)+1</f>
        <v>3</v>
      </c>
      <c r="P91" s="70">
        <f>ROUNDUP(ROUNDUP(P78/Inputs!$J$114,0)/(Inputs!$J$118*Inputs!$J$115*Inputs!$J$114),0)+1</f>
        <v>3</v>
      </c>
      <c r="Q91" s="70">
        <f>ROUNDUP(ROUNDUP(Q78/Inputs!$J$114,0)/(Inputs!$J$118*Inputs!$J$115*Inputs!$J$114),0)+1</f>
        <v>3</v>
      </c>
      <c r="R91" s="70">
        <f>ROUNDUP(ROUNDUP(R78/Inputs!$J$114,0)/(Inputs!$J$118*Inputs!$J$115*Inputs!$J$114),0)+1</f>
        <v>3</v>
      </c>
      <c r="S91" s="70">
        <f>ROUNDUP(ROUNDUP(S78/Inputs!$J$114,0)/(Inputs!$J$118*Inputs!$J$115*Inputs!$J$114),0)+1</f>
        <v>3</v>
      </c>
      <c r="T91" s="70">
        <f>ROUNDUP(ROUNDUP(T78/Inputs!$J$114,0)/(Inputs!$J$118*Inputs!$J$115*Inputs!$J$114),0)+1</f>
        <v>3</v>
      </c>
      <c r="U91" s="70">
        <f>ROUNDUP(ROUNDUP(U78/Inputs!$J$114,0)/(Inputs!$J$118*Inputs!$J$115*Inputs!$J$114),0)+1</f>
        <v>3</v>
      </c>
      <c r="V91" s="70">
        <f>ROUNDUP(ROUNDUP(V78/Inputs!$J$114,0)/(Inputs!$J$118*Inputs!$J$115*Inputs!$J$114),0)+1</f>
        <v>3</v>
      </c>
      <c r="W91" s="70">
        <f>ROUNDUP(ROUNDUP(W78/Inputs!$J$114,0)/(Inputs!$J$118*Inputs!$J$115*Inputs!$J$114),0)+1</f>
        <v>3</v>
      </c>
      <c r="X91" s="70">
        <f>ROUNDUP(ROUNDUP(X78/Inputs!$J$114,0)/(Inputs!$J$118*Inputs!$J$115*Inputs!$J$114),0)+1</f>
        <v>3</v>
      </c>
      <c r="Y91" s="70">
        <f>ROUNDUP(ROUNDUP(Y78/Inputs!$J$114,0)/(Inputs!$J$118*Inputs!$J$115*Inputs!$J$114),0)+1</f>
        <v>3</v>
      </c>
      <c r="Z91" s="70">
        <f>ROUNDUP(ROUNDUP(Z78/Inputs!$J$114,0)/(Inputs!$J$118*Inputs!$J$115*Inputs!$J$114),0)+1</f>
        <v>3</v>
      </c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</row>
    <row r="92" spans="1:57" x14ac:dyDescent="0.2">
      <c r="A92" s="49"/>
      <c r="B92" s="49"/>
      <c r="C92" s="50"/>
      <c r="D92" s="51"/>
      <c r="E92" s="87" t="str">
        <f t="shared" si="8"/>
        <v>Unserved energy day 2</v>
      </c>
      <c r="F92" s="87"/>
      <c r="G92" s="87"/>
      <c r="H92" s="87"/>
      <c r="I92" s="87"/>
      <c r="J92" s="87"/>
      <c r="K92" s="87"/>
      <c r="L92" s="87"/>
      <c r="M92" s="87"/>
      <c r="N92" s="87"/>
      <c r="O92" s="70">
        <f>MAX(0,((O91-1)-1)/2)</f>
        <v>0.5</v>
      </c>
      <c r="P92" s="70">
        <f t="shared" ref="P92:Z92" si="11">MAX(0,((P91-1)-1)/2)</f>
        <v>0.5</v>
      </c>
      <c r="Q92" s="70">
        <f t="shared" si="11"/>
        <v>0.5</v>
      </c>
      <c r="R92" s="70">
        <f t="shared" si="11"/>
        <v>0.5</v>
      </c>
      <c r="S92" s="70">
        <f t="shared" si="11"/>
        <v>0.5</v>
      </c>
      <c r="T92" s="70">
        <f t="shared" si="11"/>
        <v>0.5</v>
      </c>
      <c r="U92" s="70">
        <f t="shared" si="11"/>
        <v>0.5</v>
      </c>
      <c r="V92" s="70">
        <f t="shared" si="11"/>
        <v>0.5</v>
      </c>
      <c r="W92" s="70">
        <f t="shared" si="11"/>
        <v>0.5</v>
      </c>
      <c r="X92" s="70">
        <f t="shared" si="11"/>
        <v>0.5</v>
      </c>
      <c r="Y92" s="70">
        <f t="shared" si="11"/>
        <v>0.5</v>
      </c>
      <c r="Z92" s="70">
        <f t="shared" si="11"/>
        <v>0.5</v>
      </c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</row>
    <row r="93" spans="1:57" x14ac:dyDescent="0.2">
      <c r="A93" s="49"/>
      <c r="B93" s="49"/>
      <c r="C93" s="50"/>
      <c r="D93" s="92" t="str">
        <f>D78</f>
        <v>N-2</v>
      </c>
      <c r="E93" s="92" t="str">
        <f t="shared" si="8"/>
        <v>Average load at risk (pu)</v>
      </c>
      <c r="F93" s="92"/>
      <c r="G93" s="92"/>
      <c r="H93" s="92"/>
      <c r="I93" s="92"/>
      <c r="J93" s="92"/>
      <c r="K93" s="92"/>
      <c r="L93" s="92"/>
      <c r="M93" s="92"/>
      <c r="N93" s="92"/>
      <c r="O93" s="93">
        <f>IFERROR((O91-O92)/O91,0)*MAX(0,O91)</f>
        <v>2.5</v>
      </c>
      <c r="P93" s="93">
        <f t="shared" ref="P93:Z93" si="12">IFERROR((P91-P92)/P91,0)*MAX(0,P91)</f>
        <v>2.5</v>
      </c>
      <c r="Q93" s="93">
        <f t="shared" si="12"/>
        <v>2.5</v>
      </c>
      <c r="R93" s="93">
        <f t="shared" si="12"/>
        <v>2.5</v>
      </c>
      <c r="S93" s="93">
        <f t="shared" si="12"/>
        <v>2.5</v>
      </c>
      <c r="T93" s="93">
        <f t="shared" si="12"/>
        <v>2.5</v>
      </c>
      <c r="U93" s="93">
        <f t="shared" si="12"/>
        <v>2.5</v>
      </c>
      <c r="V93" s="93">
        <f t="shared" si="12"/>
        <v>2.5</v>
      </c>
      <c r="W93" s="93">
        <f t="shared" si="12"/>
        <v>2.5</v>
      </c>
      <c r="X93" s="93">
        <f t="shared" si="12"/>
        <v>2.5</v>
      </c>
      <c r="Y93" s="93">
        <f t="shared" si="12"/>
        <v>2.5</v>
      </c>
      <c r="Z93" s="93">
        <f t="shared" si="12"/>
        <v>2.5</v>
      </c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</row>
    <row r="94" spans="1:57" x14ac:dyDescent="0.2">
      <c r="A94" s="49"/>
      <c r="B94" s="49"/>
      <c r="C94" s="50"/>
      <c r="D94" s="51"/>
      <c r="E94" s="51" t="str">
        <f t="shared" si="8"/>
        <v>Unserved energy day 1</v>
      </c>
      <c r="F94" s="51"/>
      <c r="G94" s="51"/>
      <c r="H94" s="51"/>
      <c r="I94" s="51"/>
      <c r="J94" s="51"/>
      <c r="K94" s="51"/>
      <c r="L94" s="51"/>
      <c r="M94" s="51"/>
      <c r="N94" s="51"/>
      <c r="O94" s="70">
        <f>ROUNDUP(ROUNDUP(O79/Inputs!$J$114,0)/(Inputs!$J$118*Inputs!$J$115*Inputs!$J$114),0)+1</f>
        <v>3</v>
      </c>
      <c r="P94" s="70">
        <f>ROUNDUP(ROUNDUP(P79/Inputs!$J$114,0)/(Inputs!$J$118*Inputs!$J$115*Inputs!$J$114),0)+1</f>
        <v>3</v>
      </c>
      <c r="Q94" s="70">
        <f>ROUNDUP(ROUNDUP(Q79/Inputs!$J$114,0)/(Inputs!$J$118*Inputs!$J$115*Inputs!$J$114),0)+1</f>
        <v>3</v>
      </c>
      <c r="R94" s="70">
        <f>ROUNDUP(ROUNDUP(R79/Inputs!$J$114,0)/(Inputs!$J$118*Inputs!$J$115*Inputs!$J$114),0)+1</f>
        <v>3</v>
      </c>
      <c r="S94" s="70">
        <f>ROUNDUP(ROUNDUP(S79/Inputs!$J$114,0)/(Inputs!$J$118*Inputs!$J$115*Inputs!$J$114),0)+1</f>
        <v>3</v>
      </c>
      <c r="T94" s="70">
        <f>ROUNDUP(ROUNDUP(T79/Inputs!$J$114,0)/(Inputs!$J$118*Inputs!$J$115*Inputs!$J$114),0)+1</f>
        <v>3</v>
      </c>
      <c r="U94" s="70">
        <f>ROUNDUP(ROUNDUP(U79/Inputs!$J$114,0)/(Inputs!$J$118*Inputs!$J$115*Inputs!$J$114),0)+1</f>
        <v>3</v>
      </c>
      <c r="V94" s="70">
        <f>ROUNDUP(ROUNDUP(V79/Inputs!$J$114,0)/(Inputs!$J$118*Inputs!$J$115*Inputs!$J$114),0)+1</f>
        <v>3</v>
      </c>
      <c r="W94" s="70">
        <f>ROUNDUP(ROUNDUP(W79/Inputs!$J$114,0)/(Inputs!$J$118*Inputs!$J$115*Inputs!$J$114),0)+1</f>
        <v>3</v>
      </c>
      <c r="X94" s="70">
        <f>ROUNDUP(ROUNDUP(X79/Inputs!$J$114,0)/(Inputs!$J$118*Inputs!$J$115*Inputs!$J$114),0)+1</f>
        <v>3</v>
      </c>
      <c r="Y94" s="70">
        <f>ROUNDUP(ROUNDUP(Y79/Inputs!$J$114,0)/(Inputs!$J$118*Inputs!$J$115*Inputs!$J$114),0)+1</f>
        <v>3</v>
      </c>
      <c r="Z94" s="70">
        <f>ROUNDUP(ROUNDUP(Z79/Inputs!$J$114,0)/(Inputs!$J$118*Inputs!$J$115*Inputs!$J$114),0)+1</f>
        <v>3</v>
      </c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</row>
    <row r="95" spans="1:57" x14ac:dyDescent="0.2">
      <c r="A95" s="49"/>
      <c r="B95" s="49"/>
      <c r="C95" s="50"/>
      <c r="D95" s="51"/>
      <c r="E95" s="87" t="str">
        <f t="shared" si="8"/>
        <v>Unserved energy day 2</v>
      </c>
      <c r="F95" s="87"/>
      <c r="G95" s="87"/>
      <c r="H95" s="87"/>
      <c r="I95" s="87"/>
      <c r="J95" s="87"/>
      <c r="K95" s="87"/>
      <c r="L95" s="87"/>
      <c r="M95" s="87"/>
      <c r="N95" s="87"/>
      <c r="O95" s="70">
        <f>MAX(0,((O94-1)-1)/2)</f>
        <v>0.5</v>
      </c>
      <c r="P95" s="70">
        <f t="shared" ref="P95:Z95" si="13">MAX(0,((P94-1)-1)/2)</f>
        <v>0.5</v>
      </c>
      <c r="Q95" s="70">
        <f t="shared" si="13"/>
        <v>0.5</v>
      </c>
      <c r="R95" s="70">
        <f t="shared" si="13"/>
        <v>0.5</v>
      </c>
      <c r="S95" s="70">
        <f t="shared" si="13"/>
        <v>0.5</v>
      </c>
      <c r="T95" s="70">
        <f t="shared" si="13"/>
        <v>0.5</v>
      </c>
      <c r="U95" s="70">
        <f t="shared" si="13"/>
        <v>0.5</v>
      </c>
      <c r="V95" s="70">
        <f t="shared" si="13"/>
        <v>0.5</v>
      </c>
      <c r="W95" s="70">
        <f t="shared" si="13"/>
        <v>0.5</v>
      </c>
      <c r="X95" s="70">
        <f t="shared" si="13"/>
        <v>0.5</v>
      </c>
      <c r="Y95" s="70">
        <f t="shared" si="13"/>
        <v>0.5</v>
      </c>
      <c r="Z95" s="70">
        <f t="shared" si="13"/>
        <v>0.5</v>
      </c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</row>
    <row r="96" spans="1:57" x14ac:dyDescent="0.2">
      <c r="A96" s="49"/>
      <c r="B96" s="49"/>
      <c r="C96" s="50"/>
      <c r="D96" s="92" t="str">
        <f>D79</f>
        <v>N-3</v>
      </c>
      <c r="E96" s="92" t="str">
        <f t="shared" si="8"/>
        <v>Average load at risk (pu)</v>
      </c>
      <c r="F96" s="92"/>
      <c r="G96" s="92"/>
      <c r="H96" s="92"/>
      <c r="I96" s="92"/>
      <c r="J96" s="92"/>
      <c r="K96" s="92"/>
      <c r="L96" s="92"/>
      <c r="M96" s="92"/>
      <c r="N96" s="92"/>
      <c r="O96" s="93">
        <f>IFERROR((O94-O95)/O94,0)*MAX(0,O94)</f>
        <v>2.5</v>
      </c>
      <c r="P96" s="93">
        <f t="shared" ref="P96:Z96" si="14">IFERROR((P94-P95)/P94,0)*MAX(0,P94)</f>
        <v>2.5</v>
      </c>
      <c r="Q96" s="93">
        <f t="shared" si="14"/>
        <v>2.5</v>
      </c>
      <c r="R96" s="93">
        <f t="shared" si="14"/>
        <v>2.5</v>
      </c>
      <c r="S96" s="93">
        <f t="shared" si="14"/>
        <v>2.5</v>
      </c>
      <c r="T96" s="93">
        <f t="shared" si="14"/>
        <v>2.5</v>
      </c>
      <c r="U96" s="93">
        <f t="shared" si="14"/>
        <v>2.5</v>
      </c>
      <c r="V96" s="93">
        <f t="shared" si="14"/>
        <v>2.5</v>
      </c>
      <c r="W96" s="93">
        <f t="shared" si="14"/>
        <v>2.5</v>
      </c>
      <c r="X96" s="93">
        <f t="shared" si="14"/>
        <v>2.5</v>
      </c>
      <c r="Y96" s="93">
        <f t="shared" si="14"/>
        <v>2.5</v>
      </c>
      <c r="Z96" s="93">
        <f t="shared" si="14"/>
        <v>2.5</v>
      </c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</row>
    <row r="97" spans="1:57" x14ac:dyDescent="0.2">
      <c r="A97" s="49"/>
      <c r="B97" s="49"/>
      <c r="C97" s="50"/>
      <c r="D97" s="51"/>
      <c r="E97" s="51" t="str">
        <f t="shared" si="8"/>
        <v>Unserved energy day 1</v>
      </c>
      <c r="F97" s="51"/>
      <c r="G97" s="51"/>
      <c r="H97" s="51"/>
      <c r="I97" s="51"/>
      <c r="J97" s="51"/>
      <c r="K97" s="51"/>
      <c r="L97" s="51"/>
      <c r="M97" s="51"/>
      <c r="N97" s="51"/>
      <c r="O97" s="70">
        <f>ROUNDUP(ROUNDUP(O80/Inputs!$J$114,0)/(Inputs!$J$118*Inputs!$J$115*Inputs!$J$114),0)+1</f>
        <v>3</v>
      </c>
      <c r="P97" s="70">
        <f>ROUNDUP(ROUNDUP(P80/Inputs!$J$114,0)/(Inputs!$J$118*Inputs!$J$115*Inputs!$J$114),0)+1</f>
        <v>3</v>
      </c>
      <c r="Q97" s="70">
        <f>ROUNDUP(ROUNDUP(Q80/Inputs!$J$114,0)/(Inputs!$J$118*Inputs!$J$115*Inputs!$J$114),0)+1</f>
        <v>3</v>
      </c>
      <c r="R97" s="70">
        <f>ROUNDUP(ROUNDUP(R80/Inputs!$J$114,0)/(Inputs!$J$118*Inputs!$J$115*Inputs!$J$114),0)+1</f>
        <v>3</v>
      </c>
      <c r="S97" s="70">
        <f>ROUNDUP(ROUNDUP(S80/Inputs!$J$114,0)/(Inputs!$J$118*Inputs!$J$115*Inputs!$J$114),0)+1</f>
        <v>3</v>
      </c>
      <c r="T97" s="70">
        <f>ROUNDUP(ROUNDUP(T80/Inputs!$J$114,0)/(Inputs!$J$118*Inputs!$J$115*Inputs!$J$114),0)+1</f>
        <v>3</v>
      </c>
      <c r="U97" s="70">
        <f>ROUNDUP(ROUNDUP(U80/Inputs!$J$114,0)/(Inputs!$J$118*Inputs!$J$115*Inputs!$J$114),0)+1</f>
        <v>3</v>
      </c>
      <c r="V97" s="70">
        <f>ROUNDUP(ROUNDUP(V80/Inputs!$J$114,0)/(Inputs!$J$118*Inputs!$J$115*Inputs!$J$114),0)+1</f>
        <v>3</v>
      </c>
      <c r="W97" s="70">
        <f>ROUNDUP(ROUNDUP(W80/Inputs!$J$114,0)/(Inputs!$J$118*Inputs!$J$115*Inputs!$J$114),0)+1</f>
        <v>3</v>
      </c>
      <c r="X97" s="70">
        <f>ROUNDUP(ROUNDUP(X80/Inputs!$J$114,0)/(Inputs!$J$118*Inputs!$J$115*Inputs!$J$114),0)+1</f>
        <v>3</v>
      </c>
      <c r="Y97" s="70">
        <f>ROUNDUP(ROUNDUP(Y80/Inputs!$J$114,0)/(Inputs!$J$118*Inputs!$J$115*Inputs!$J$114),0)+1</f>
        <v>3</v>
      </c>
      <c r="Z97" s="70">
        <f>ROUNDUP(ROUNDUP(Z80/Inputs!$J$114,0)/(Inputs!$J$118*Inputs!$J$115*Inputs!$J$114),0)+1</f>
        <v>3</v>
      </c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</row>
    <row r="98" spans="1:57" x14ac:dyDescent="0.2">
      <c r="A98" s="49"/>
      <c r="B98" s="49"/>
      <c r="C98" s="50"/>
      <c r="D98" s="51"/>
      <c r="E98" s="87" t="str">
        <f t="shared" si="8"/>
        <v>Unserved energy day 2</v>
      </c>
      <c r="F98" s="87"/>
      <c r="G98" s="87"/>
      <c r="H98" s="87"/>
      <c r="I98" s="87"/>
      <c r="J98" s="87"/>
      <c r="K98" s="87"/>
      <c r="L98" s="87"/>
      <c r="M98" s="87"/>
      <c r="N98" s="87"/>
      <c r="O98" s="70">
        <f>MAX(0,((O97-1)-1)/2)</f>
        <v>0.5</v>
      </c>
      <c r="P98" s="70">
        <f t="shared" ref="P98:Z98" si="15">MAX(0,((P97-1)-1)/2)</f>
        <v>0.5</v>
      </c>
      <c r="Q98" s="70">
        <f t="shared" si="15"/>
        <v>0.5</v>
      </c>
      <c r="R98" s="70">
        <f t="shared" si="15"/>
        <v>0.5</v>
      </c>
      <c r="S98" s="70">
        <f t="shared" si="15"/>
        <v>0.5</v>
      </c>
      <c r="T98" s="70">
        <f t="shared" si="15"/>
        <v>0.5</v>
      </c>
      <c r="U98" s="70">
        <f t="shared" si="15"/>
        <v>0.5</v>
      </c>
      <c r="V98" s="70">
        <f t="shared" si="15"/>
        <v>0.5</v>
      </c>
      <c r="W98" s="70">
        <f t="shared" si="15"/>
        <v>0.5</v>
      </c>
      <c r="X98" s="70">
        <f t="shared" si="15"/>
        <v>0.5</v>
      </c>
      <c r="Y98" s="70">
        <f t="shared" si="15"/>
        <v>0.5</v>
      </c>
      <c r="Z98" s="70">
        <f t="shared" si="15"/>
        <v>0.5</v>
      </c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</row>
    <row r="99" spans="1:57" x14ac:dyDescent="0.2">
      <c r="A99" s="49"/>
      <c r="B99" s="49"/>
      <c r="C99" s="50"/>
      <c r="D99" s="94" t="str">
        <f>D80</f>
        <v>N-4</v>
      </c>
      <c r="E99" s="94" t="str">
        <f t="shared" si="8"/>
        <v>Average load at risk (pu)</v>
      </c>
      <c r="F99" s="94"/>
      <c r="G99" s="94"/>
      <c r="H99" s="94"/>
      <c r="I99" s="94"/>
      <c r="J99" s="94"/>
      <c r="K99" s="94"/>
      <c r="L99" s="94"/>
      <c r="M99" s="94"/>
      <c r="N99" s="94"/>
      <c r="O99" s="93">
        <f>IFERROR((O97-O98)/O97,0)*MAX(0,O97)</f>
        <v>2.5</v>
      </c>
      <c r="P99" s="93">
        <f t="shared" ref="P99:Z99" si="16">IFERROR((P97-P98)/P97,0)*MAX(0,P97)</f>
        <v>2.5</v>
      </c>
      <c r="Q99" s="93">
        <f t="shared" si="16"/>
        <v>2.5</v>
      </c>
      <c r="R99" s="93">
        <f t="shared" si="16"/>
        <v>2.5</v>
      </c>
      <c r="S99" s="93">
        <f t="shared" si="16"/>
        <v>2.5</v>
      </c>
      <c r="T99" s="93">
        <f t="shared" si="16"/>
        <v>2.5</v>
      </c>
      <c r="U99" s="93">
        <f t="shared" si="16"/>
        <v>2.5</v>
      </c>
      <c r="V99" s="93">
        <f t="shared" si="16"/>
        <v>2.5</v>
      </c>
      <c r="W99" s="93">
        <f t="shared" si="16"/>
        <v>2.5</v>
      </c>
      <c r="X99" s="93">
        <f t="shared" si="16"/>
        <v>2.5</v>
      </c>
      <c r="Y99" s="93">
        <f t="shared" si="16"/>
        <v>2.5</v>
      </c>
      <c r="Z99" s="93">
        <f t="shared" si="16"/>
        <v>2.5</v>
      </c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</row>
    <row r="100" spans="1:57" x14ac:dyDescent="0.2">
      <c r="A100" s="49"/>
      <c r="B100" s="49"/>
      <c r="C100" s="50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</row>
    <row r="101" spans="1:57" x14ac:dyDescent="0.2">
      <c r="A101" s="49"/>
      <c r="B101" s="49"/>
      <c r="C101" s="50" t="s">
        <v>168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</row>
    <row r="102" spans="1:57" x14ac:dyDescent="0.2">
      <c r="A102" s="49"/>
      <c r="B102" s="49"/>
      <c r="C102" s="50"/>
      <c r="D102" s="51" t="str">
        <f>D87</f>
        <v>N</v>
      </c>
      <c r="E102" s="51"/>
      <c r="F102" s="51"/>
      <c r="G102" s="51"/>
      <c r="H102" s="51"/>
      <c r="I102" s="51"/>
      <c r="J102" s="51"/>
      <c r="K102" s="51"/>
      <c r="L102" s="51"/>
      <c r="M102" s="96"/>
      <c r="N102" s="51"/>
      <c r="O102" s="70">
        <f>O76*Inputs!$M$75*IF(Inputs!$J$126&gt;0,Inputs!$J$126,O87*Inputs!$J$123)*$I$13</f>
        <v>0</v>
      </c>
      <c r="P102" s="70">
        <f>P76*Inputs!$M$75*IF(Inputs!$J$126&gt;0,Inputs!$J$126,P87*Inputs!$J$123)*$I$13</f>
        <v>0</v>
      </c>
      <c r="Q102" s="70">
        <f>Q76*Inputs!$M$75*IF(Inputs!$J$126&gt;0,Inputs!$J$126,Q87*Inputs!$J$123)*$I$13</f>
        <v>0</v>
      </c>
      <c r="R102" s="70">
        <f>R76*Inputs!$M$75*IF(Inputs!$J$126&gt;0,Inputs!$J$126,R87*Inputs!$J$123)*$I$13</f>
        <v>0</v>
      </c>
      <c r="S102" s="70">
        <f>S76*Inputs!$M$75*IF(Inputs!$J$126&gt;0,Inputs!$J$126,S87*Inputs!$J$123)*$I$13</f>
        <v>0</v>
      </c>
      <c r="T102" s="70">
        <f>T76*Inputs!$M$75*IF(Inputs!$J$126&gt;0,Inputs!$J$126,T87*Inputs!$J$123)*$I$13</f>
        <v>0</v>
      </c>
      <c r="U102" s="70">
        <f>U76*Inputs!$M$75*IF(Inputs!$J$126&gt;0,Inputs!$J$126,U87*Inputs!$J$123)*$I$13</f>
        <v>0</v>
      </c>
      <c r="V102" s="70">
        <f>V76*Inputs!$M$75*IF(Inputs!$J$126&gt;0,Inputs!$J$126,V87*Inputs!$J$123)*$I$13</f>
        <v>0</v>
      </c>
      <c r="W102" s="70">
        <f>W76*Inputs!$M$75*IF(Inputs!$J$126&gt;0,Inputs!$J$126,W87*Inputs!$J$123)*$I$13</f>
        <v>0</v>
      </c>
      <c r="X102" s="70">
        <f>X76*Inputs!$M$75*IF(Inputs!$J$126&gt;0,Inputs!$J$126,X87*Inputs!$J$123)*$I$13</f>
        <v>0</v>
      </c>
      <c r="Y102" s="70">
        <f>Y76*Inputs!$M$75*IF(Inputs!$J$126&gt;0,Inputs!$J$126,Y87*Inputs!$J$123)*$I$13</f>
        <v>0</v>
      </c>
      <c r="Z102" s="70">
        <f>Z76*Inputs!$M$75*IF(Inputs!$J$126&gt;0,Inputs!$J$126,Z87*Inputs!$J$123)*$I$13</f>
        <v>0</v>
      </c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</row>
    <row r="103" spans="1:57" x14ac:dyDescent="0.2">
      <c r="A103" s="49"/>
      <c r="B103" s="49"/>
      <c r="C103" s="50"/>
      <c r="D103" s="51" t="str">
        <f>D90</f>
        <v>N-1</v>
      </c>
      <c r="E103" s="51"/>
      <c r="F103" s="51"/>
      <c r="G103" s="51"/>
      <c r="H103" s="51"/>
      <c r="I103" s="51"/>
      <c r="J103" s="86" t="str">
        <f>Inputs!D64</f>
        <v>Significant</v>
      </c>
      <c r="K103" s="51"/>
      <c r="L103" s="51"/>
      <c r="M103" s="96"/>
      <c r="N103" s="51"/>
      <c r="O103" s="138">
        <f>IF(Inputs!$J$126&gt;0,O71*Inputs!$M$81/Inputs!$M$80*Inputs!$M$75*Inputs!$J$126,O77*Inputs!$M$75*O90*Inputs!$J$123)*$I$13</f>
        <v>438144.75072260486</v>
      </c>
      <c r="P103" s="138">
        <f>IF(Inputs!$J$126&gt;0,P71*Inputs!$M$81/Inputs!$M$80*Inputs!$M$75*Inputs!$J$126,P77*Inputs!$M$75*P90*Inputs!$J$123)*$I$13</f>
        <v>439464.95040375995</v>
      </c>
      <c r="Q103" s="138">
        <f>IF(Inputs!$J$126&gt;0,Q71*Inputs!$M$81/Inputs!$M$80*Inputs!$M$75*Inputs!$J$126,Q77*Inputs!$M$75*Q90*Inputs!$J$123)*$I$13</f>
        <v>437699.11369943019</v>
      </c>
      <c r="R103" s="138">
        <f>IF(Inputs!$J$126&gt;0,R71*Inputs!$M$81/Inputs!$M$80*Inputs!$M$75*Inputs!$J$126,R77*Inputs!$M$75*R90*Inputs!$J$123)*$I$13</f>
        <v>443510.49900476803</v>
      </c>
      <c r="S103" s="138">
        <f>IF(Inputs!$J$126&gt;0,S71*Inputs!$M$81/Inputs!$M$80*Inputs!$M$75*Inputs!$J$126,S77*Inputs!$M$75*S90*Inputs!$J$123)*$I$13</f>
        <v>446441.95504783938</v>
      </c>
      <c r="T103" s="138">
        <f>IF(Inputs!$J$126&gt;0,T71*Inputs!$M$81/Inputs!$M$80*Inputs!$M$75*Inputs!$J$126,T77*Inputs!$M$75*T90*Inputs!$J$123)*$I$13</f>
        <v>459448.98566175177</v>
      </c>
      <c r="U103" s="138">
        <f>IF(Inputs!$J$126&gt;0,U71*Inputs!$M$81/Inputs!$M$80*Inputs!$M$75*Inputs!$J$126,U77*Inputs!$M$75*U90*Inputs!$J$123)*$I$13</f>
        <v>471880.86599262932</v>
      </c>
      <c r="V103" s="138">
        <f>IF(Inputs!$J$126&gt;0,V71*Inputs!$M$81/Inputs!$M$80*Inputs!$M$75*Inputs!$J$126,V77*Inputs!$M$75*V90*Inputs!$J$123)*$I$13</f>
        <v>471880.86599262932</v>
      </c>
      <c r="W103" s="138">
        <f>IF(Inputs!$J$126&gt;0,W71*Inputs!$M$81/Inputs!$M$80*Inputs!$M$75*Inputs!$J$126,W77*Inputs!$M$75*W90*Inputs!$J$123)*$I$13</f>
        <v>471880.86599262932</v>
      </c>
      <c r="X103" s="138">
        <f>IF(Inputs!$J$126&gt;0,X71*Inputs!$M$81/Inputs!$M$80*Inputs!$M$75*Inputs!$J$126,X77*Inputs!$M$75*X90*Inputs!$J$123)*$I$13</f>
        <v>471880.86599262932</v>
      </c>
      <c r="Y103" s="138">
        <f>IF(Inputs!$J$126&gt;0,Y71*Inputs!$M$81/Inputs!$M$80*Inputs!$M$75*Inputs!$J$126,Y77*Inputs!$M$75*Y90*Inputs!$J$123)*$I$13</f>
        <v>471880.86599262932</v>
      </c>
      <c r="Z103" s="138">
        <f>IF(Inputs!$J$126&gt;0,Z71*Inputs!$M$81/Inputs!$M$80*Inputs!$M$75*Inputs!$J$126,Z77*Inputs!$M$75*Z90*Inputs!$J$123)*$I$13</f>
        <v>471880.86599262932</v>
      </c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</row>
    <row r="104" spans="1:57" x14ac:dyDescent="0.2">
      <c r="A104" s="49"/>
      <c r="B104" s="49"/>
      <c r="C104" s="50"/>
      <c r="D104" s="51" t="str">
        <f>D90</f>
        <v>N-1</v>
      </c>
      <c r="E104" s="51"/>
      <c r="F104" s="51"/>
      <c r="G104" s="51"/>
      <c r="H104" s="51"/>
      <c r="I104" s="51"/>
      <c r="J104" s="86" t="str">
        <f>Inputs!D65</f>
        <v>Major</v>
      </c>
      <c r="K104" s="51"/>
      <c r="L104" s="51"/>
      <c r="M104" s="96"/>
      <c r="N104" s="51"/>
      <c r="O104" s="70">
        <f>O77*Inputs!$M$75*IF(Inputs!$K$126&gt;0,Inputs!$K$126,O90*Inputs!$J$123)*$I$13</f>
        <v>0</v>
      </c>
      <c r="P104" s="70">
        <f>P77*Inputs!$M$75*IF(Inputs!$K$126&gt;0,Inputs!$K$126,P90*Inputs!$J$123)*$I$13</f>
        <v>0</v>
      </c>
      <c r="Q104" s="70">
        <f>Q77*Inputs!$M$75*IF(Inputs!$K$126&gt;0,Inputs!$K$126,Q90*Inputs!$J$123)*$I$13</f>
        <v>0</v>
      </c>
      <c r="R104" s="70">
        <f>R77*Inputs!$M$75*IF(Inputs!$K$126&gt;0,Inputs!$K$126,R90*Inputs!$J$123)*$I$13</f>
        <v>0</v>
      </c>
      <c r="S104" s="70">
        <f>S77*Inputs!$M$75*IF(Inputs!$K$126&gt;0,Inputs!$K$126,S90*Inputs!$J$123)*$I$13</f>
        <v>0</v>
      </c>
      <c r="T104" s="70">
        <f>T77*Inputs!$M$75*IF(Inputs!$K$126&gt;0,Inputs!$K$126,T90*Inputs!$J$123)*$I$13</f>
        <v>0</v>
      </c>
      <c r="U104" s="70">
        <f>U77*Inputs!$M$75*IF(Inputs!$K$126&gt;0,Inputs!$K$126,U90*Inputs!$J$123)*$I$13</f>
        <v>0</v>
      </c>
      <c r="V104" s="70">
        <f>V77*Inputs!$M$75*IF(Inputs!$K$126&gt;0,Inputs!$K$126,V90*Inputs!$J$123)*$I$13</f>
        <v>0</v>
      </c>
      <c r="W104" s="70">
        <f>W77*Inputs!$M$75*IF(Inputs!$K$126&gt;0,Inputs!$K$126,W90*Inputs!$J$123)*$I$13</f>
        <v>0</v>
      </c>
      <c r="X104" s="70">
        <f>X77*Inputs!$M$75*IF(Inputs!$K$126&gt;0,Inputs!$K$126,X90*Inputs!$J$123)*$I$13</f>
        <v>0</v>
      </c>
      <c r="Y104" s="70">
        <f>Y77*Inputs!$M$75*IF(Inputs!$K$126&gt;0,Inputs!$K$126,Y90*Inputs!$J$123)*$I$13</f>
        <v>0</v>
      </c>
      <c r="Z104" s="70">
        <f>Z77*Inputs!$M$75*IF(Inputs!$K$126&gt;0,Inputs!$K$126,Z90*Inputs!$J$123)*$I$13</f>
        <v>0</v>
      </c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</row>
    <row r="105" spans="1:57" x14ac:dyDescent="0.2">
      <c r="A105" s="49"/>
      <c r="B105" s="49"/>
      <c r="C105" s="50"/>
      <c r="D105" s="51" t="str">
        <f>D93</f>
        <v>N-2</v>
      </c>
      <c r="E105" s="51"/>
      <c r="F105" s="51"/>
      <c r="G105" s="51"/>
      <c r="H105" s="51"/>
      <c r="I105" s="51"/>
      <c r="J105" s="86" t="str">
        <f>Inputs!$D$66</f>
        <v>Catastrophic</v>
      </c>
      <c r="K105" s="51"/>
      <c r="L105" s="51"/>
      <c r="M105" s="96"/>
      <c r="N105" s="51"/>
      <c r="O105" s="70">
        <f>O78*Inputs!$M$75*IF(Inputs!$M$126&gt;0,Inputs!$M$126,O93*Inputs!$J$123)*$I$13</f>
        <v>26300701.327374041</v>
      </c>
      <c r="P105" s="70">
        <f>P78*Inputs!$M$75*IF(Inputs!$M$126&gt;0,Inputs!$M$126,P93*Inputs!$J$123)*$I$13</f>
        <v>26459125.28911265</v>
      </c>
      <c r="Q105" s="70">
        <f>Q78*Inputs!$M$75*IF(Inputs!$M$126&gt;0,Inputs!$M$126,Q93*Inputs!$J$123)*$I$13</f>
        <v>26247224.884593084</v>
      </c>
      <c r="R105" s="70">
        <f>R78*Inputs!$M$75*IF(Inputs!$M$126&gt;0,Inputs!$M$126,R93*Inputs!$J$123)*$I$13</f>
        <v>26944591.121233627</v>
      </c>
      <c r="S105" s="70">
        <f>S78*Inputs!$M$75*IF(Inputs!$M$126&gt;0,Inputs!$M$126,S93*Inputs!$J$123)*$I$13</f>
        <v>27296365.846402183</v>
      </c>
      <c r="T105" s="70">
        <f>T78*Inputs!$M$75*IF(Inputs!$M$126&gt;0,Inputs!$M$126,T93*Inputs!$J$123)*$I$13</f>
        <v>28857209.520071674</v>
      </c>
      <c r="U105" s="70">
        <f>U78*Inputs!$M$75*IF(Inputs!$M$126&gt;0,Inputs!$M$126,U93*Inputs!$J$123)*$I$13</f>
        <v>30349035.159776974</v>
      </c>
      <c r="V105" s="70">
        <f>V78*Inputs!$M$75*IF(Inputs!$M$126&gt;0,Inputs!$M$126,V93*Inputs!$J$123)*$I$13</f>
        <v>30349035.159776974</v>
      </c>
      <c r="W105" s="70">
        <f>W78*Inputs!$M$75*IF(Inputs!$M$126&gt;0,Inputs!$M$126,W93*Inputs!$J$123)*$I$13</f>
        <v>30349035.159776974</v>
      </c>
      <c r="X105" s="70">
        <f>X78*Inputs!$M$75*IF(Inputs!$M$126&gt;0,Inputs!$M$126,X93*Inputs!$J$123)*$I$13</f>
        <v>30349035.159776974</v>
      </c>
      <c r="Y105" s="70">
        <f>Y78*Inputs!$M$75*IF(Inputs!$M$126&gt;0,Inputs!$M$126,Y93*Inputs!$J$123)*$I$13</f>
        <v>30349035.159776974</v>
      </c>
      <c r="Z105" s="70">
        <f>Z78*Inputs!$M$75*IF(Inputs!$M$126&gt;0,Inputs!$M$126,Z93*Inputs!$J$123)*$I$13</f>
        <v>30349035.159776974</v>
      </c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</row>
    <row r="106" spans="1:57" x14ac:dyDescent="0.2">
      <c r="A106" s="49"/>
      <c r="B106" s="49"/>
      <c r="C106" s="50"/>
      <c r="D106" s="51" t="str">
        <f>D96</f>
        <v>N-3</v>
      </c>
      <c r="E106" s="51"/>
      <c r="F106" s="51"/>
      <c r="G106" s="51"/>
      <c r="H106" s="51"/>
      <c r="I106" s="51"/>
      <c r="J106" s="86" t="str">
        <f>Inputs!$D$66</f>
        <v>Catastrophic</v>
      </c>
      <c r="K106" s="51"/>
      <c r="L106" s="51"/>
      <c r="M106" s="96"/>
      <c r="N106" s="51"/>
      <c r="O106" s="70">
        <f>O79*Inputs!$M$75*IF(Inputs!$M$126&gt;0,Inputs!$M$126,O96*Inputs!$J$123)*$I$13</f>
        <v>26300701.327374041</v>
      </c>
      <c r="P106" s="70">
        <f>P79*Inputs!$M$75*IF(Inputs!$M$126&gt;0,Inputs!$M$126,P96*Inputs!$J$123)*$I$13</f>
        <v>26459125.28911265</v>
      </c>
      <c r="Q106" s="70">
        <f>Q79*Inputs!$M$75*IF(Inputs!$M$126&gt;0,Inputs!$M$126,Q96*Inputs!$J$123)*$I$13</f>
        <v>26247224.884593084</v>
      </c>
      <c r="R106" s="70">
        <f>R79*Inputs!$M$75*IF(Inputs!$M$126&gt;0,Inputs!$M$126,R96*Inputs!$J$123)*$I$13</f>
        <v>26944591.121233627</v>
      </c>
      <c r="S106" s="70">
        <f>S79*Inputs!$M$75*IF(Inputs!$M$126&gt;0,Inputs!$M$126,S96*Inputs!$J$123)*$I$13</f>
        <v>27296365.846402183</v>
      </c>
      <c r="T106" s="70">
        <f>T79*Inputs!$M$75*IF(Inputs!$M$126&gt;0,Inputs!$M$126,T96*Inputs!$J$123)*$I$13</f>
        <v>28857209.520071674</v>
      </c>
      <c r="U106" s="70">
        <f>U79*Inputs!$M$75*IF(Inputs!$M$126&gt;0,Inputs!$M$126,U96*Inputs!$J$123)*$I$13</f>
        <v>30349035.159776974</v>
      </c>
      <c r="V106" s="70">
        <f>V79*Inputs!$M$75*IF(Inputs!$M$126&gt;0,Inputs!$M$126,V96*Inputs!$J$123)*$I$13</f>
        <v>30349035.159776974</v>
      </c>
      <c r="W106" s="70">
        <f>W79*Inputs!$M$75*IF(Inputs!$M$126&gt;0,Inputs!$M$126,W96*Inputs!$J$123)*$I$13</f>
        <v>30349035.159776974</v>
      </c>
      <c r="X106" s="70">
        <f>X79*Inputs!$M$75*IF(Inputs!$M$126&gt;0,Inputs!$M$126,X96*Inputs!$J$123)*$I$13</f>
        <v>30349035.159776974</v>
      </c>
      <c r="Y106" s="70">
        <f>Y79*Inputs!$M$75*IF(Inputs!$M$126&gt;0,Inputs!$M$126,Y96*Inputs!$J$123)*$I$13</f>
        <v>30349035.159776974</v>
      </c>
      <c r="Z106" s="70">
        <f>Z79*Inputs!$M$75*IF(Inputs!$M$126&gt;0,Inputs!$M$126,Z96*Inputs!$J$123)*$I$13</f>
        <v>30349035.159776974</v>
      </c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</row>
    <row r="107" spans="1:57" x14ac:dyDescent="0.2">
      <c r="A107" s="49"/>
      <c r="B107" s="49"/>
      <c r="C107" s="50"/>
      <c r="D107" s="87" t="str">
        <f>D99</f>
        <v>N-4</v>
      </c>
      <c r="E107" s="87"/>
      <c r="F107" s="87"/>
      <c r="G107" s="87"/>
      <c r="H107" s="87"/>
      <c r="I107" s="87"/>
      <c r="J107" s="86" t="str">
        <f>Inputs!$D$66</f>
        <v>Catastrophic</v>
      </c>
      <c r="K107" s="87"/>
      <c r="L107" s="87"/>
      <c r="M107" s="97"/>
      <c r="N107" s="87"/>
      <c r="O107" s="70">
        <f>O80*Inputs!$M$75*IF(Inputs!$M$126&gt;0,Inputs!$M$126,O99*Inputs!$J$123)*$I$13</f>
        <v>26300701.327374041</v>
      </c>
      <c r="P107" s="70">
        <f>P80*Inputs!$M$75*IF(Inputs!$M$126&gt;0,Inputs!$M$126,P99*Inputs!$J$123)*$I$13</f>
        <v>26459125.28911265</v>
      </c>
      <c r="Q107" s="70">
        <f>Q80*Inputs!$M$75*IF(Inputs!$M$126&gt;0,Inputs!$M$126,Q99*Inputs!$J$123)*$I$13</f>
        <v>26247224.884593084</v>
      </c>
      <c r="R107" s="70">
        <f>R80*Inputs!$M$75*IF(Inputs!$M$126&gt;0,Inputs!$M$126,R99*Inputs!$J$123)*$I$13</f>
        <v>26944591.121233627</v>
      </c>
      <c r="S107" s="70">
        <f>S80*Inputs!$M$75*IF(Inputs!$M$126&gt;0,Inputs!$M$126,S99*Inputs!$J$123)*$I$13</f>
        <v>27296365.846402183</v>
      </c>
      <c r="T107" s="70">
        <f>T80*Inputs!$M$75*IF(Inputs!$M$126&gt;0,Inputs!$M$126,T99*Inputs!$J$123)*$I$13</f>
        <v>28857209.520071674</v>
      </c>
      <c r="U107" s="70">
        <f>U80*Inputs!$M$75*IF(Inputs!$M$126&gt;0,Inputs!$M$126,U99*Inputs!$J$123)*$I$13</f>
        <v>30349035.159776974</v>
      </c>
      <c r="V107" s="70">
        <f>V80*Inputs!$M$75*IF(Inputs!$M$126&gt;0,Inputs!$M$126,V99*Inputs!$J$123)*$I$13</f>
        <v>30349035.159776974</v>
      </c>
      <c r="W107" s="70">
        <f>W80*Inputs!$M$75*IF(Inputs!$M$126&gt;0,Inputs!$M$126,W99*Inputs!$J$123)*$I$13</f>
        <v>30349035.159776974</v>
      </c>
      <c r="X107" s="70">
        <f>X80*Inputs!$M$75*IF(Inputs!$M$126&gt;0,Inputs!$M$126,X99*Inputs!$J$123)*$I$13</f>
        <v>30349035.159776974</v>
      </c>
      <c r="Y107" s="70">
        <f>Y80*Inputs!$M$75*IF(Inputs!$M$126&gt;0,Inputs!$M$126,Y99*Inputs!$J$123)*$I$13</f>
        <v>30349035.159776974</v>
      </c>
      <c r="Z107" s="70">
        <f>Z80*Inputs!$M$75*IF(Inputs!$M$126&gt;0,Inputs!$M$126,Z99*Inputs!$J$123)*$I$13</f>
        <v>30349035.159776974</v>
      </c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</row>
    <row r="108" spans="1:57" x14ac:dyDescent="0.2">
      <c r="A108" s="49"/>
      <c r="B108" s="49"/>
      <c r="C108" s="50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</row>
    <row r="109" spans="1:57" x14ac:dyDescent="0.2">
      <c r="A109" s="52" t="s">
        <v>169</v>
      </c>
      <c r="B109" s="52"/>
      <c r="C109" s="53"/>
      <c r="D109" s="54"/>
      <c r="E109" s="54"/>
      <c r="F109" s="54"/>
      <c r="G109" s="54"/>
      <c r="H109" s="54"/>
      <c r="I109" s="54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">
      <c r="A110" s="49"/>
      <c r="B110" s="49"/>
      <c r="C110" s="50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</row>
    <row r="111" spans="1:57" x14ac:dyDescent="0.2">
      <c r="A111" s="49"/>
      <c r="B111" s="49" t="s">
        <v>170</v>
      </c>
      <c r="C111" s="50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</row>
    <row r="112" spans="1:57" x14ac:dyDescent="0.2">
      <c r="A112" s="49"/>
      <c r="B112" s="49"/>
      <c r="C112" s="5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</row>
    <row r="113" spans="1:57" x14ac:dyDescent="0.2">
      <c r="A113" s="49"/>
      <c r="B113" s="49"/>
      <c r="C113" s="50" t="str">
        <f>Inputs!C63</f>
        <v>Failure mode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</row>
    <row r="114" spans="1:57" x14ac:dyDescent="0.2">
      <c r="A114" s="49"/>
      <c r="B114" s="49"/>
      <c r="C114" s="50"/>
      <c r="D114" s="51" t="str">
        <f>Inputs!D64</f>
        <v>Significant</v>
      </c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6">
        <f>Inputs!O64*$I$9</f>
        <v>5.4658729562161862E-2</v>
      </c>
      <c r="P114" s="56">
        <f>Inputs!P64*$I$9</f>
        <v>5.8632157711231057E-2</v>
      </c>
      <c r="Q114" s="56">
        <f>Inputs!Q64*$I$9</f>
        <v>6.2930349394156676E-2</v>
      </c>
      <c r="R114" s="56">
        <f>Inputs!R64*$I$9</f>
        <v>6.7581266650433763E-2</v>
      </c>
      <c r="S114" s="56">
        <f>Inputs!S64*$I$9</f>
        <v>7.2615355373722282E-2</v>
      </c>
      <c r="T114" s="56">
        <f>Inputs!T64*$I$9</f>
        <v>7.8065770321947503E-2</v>
      </c>
      <c r="U114" s="56">
        <f>Inputs!U64*$I$9</f>
        <v>8.3968620772291711E-2</v>
      </c>
      <c r="V114" s="56">
        <f>Inputs!V64*$I$9</f>
        <v>9.0363238731277801E-2</v>
      </c>
      <c r="W114" s="56">
        <f>Inputs!W64*$I$9</f>
        <v>9.7292471787878657E-2</v>
      </c>
      <c r="X114" s="56">
        <f>Inputs!X64*$I$9</f>
        <v>0.10480300289192103</v>
      </c>
      <c r="Y114" s="56">
        <f>Inputs!Y64*$I$9</f>
        <v>0.11294569955253841</v>
      </c>
      <c r="Z114" s="56">
        <f>Inputs!Z64*$I$9</f>
        <v>0.12172104515524008</v>
      </c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</row>
    <row r="115" spans="1:57" x14ac:dyDescent="0.2">
      <c r="A115" s="49"/>
      <c r="B115" s="49"/>
      <c r="C115" s="50"/>
      <c r="D115" s="51" t="str">
        <f>Inputs!D65</f>
        <v>Major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6">
        <f>Inputs!O65*$I$9</f>
        <v>6.0731921735735408E-3</v>
      </c>
      <c r="P115" s="56">
        <f>Inputs!P65*$I$9</f>
        <v>6.5146841901367837E-3</v>
      </c>
      <c r="Q115" s="56">
        <f>Inputs!Q65*$I$9</f>
        <v>6.9922610437951876E-3</v>
      </c>
      <c r="R115" s="56">
        <f>Inputs!R65*$I$9</f>
        <v>7.5090296278259748E-3</v>
      </c>
      <c r="S115" s="56">
        <f>Inputs!S65*$I$9</f>
        <v>8.0683728193024773E-3</v>
      </c>
      <c r="T115" s="56">
        <f>Inputs!T65*$I$9</f>
        <v>8.6739744802163902E-3</v>
      </c>
      <c r="U115" s="56">
        <f>Inputs!U65*$I$9</f>
        <v>9.3298467524768596E-3</v>
      </c>
      <c r="V115" s="56">
        <f>Inputs!V65*$I$9</f>
        <v>1.0040359859030868E-2</v>
      </c>
      <c r="W115" s="56">
        <f>Inputs!W65*$I$9</f>
        <v>1.0810274643097631E-2</v>
      </c>
      <c r="X115" s="56">
        <f>Inputs!X65*$I$9</f>
        <v>1.1644778099102337E-2</v>
      </c>
      <c r="Y115" s="56">
        <f>Inputs!Y65*$I$9</f>
        <v>1.254952217250427E-2</v>
      </c>
      <c r="Z115" s="56">
        <f>Inputs!Z65*$I$9</f>
        <v>1.3524560572804456E-2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</row>
    <row r="116" spans="1:57" x14ac:dyDescent="0.2">
      <c r="A116" s="49"/>
      <c r="B116" s="49"/>
      <c r="C116" s="50"/>
      <c r="D116" s="87" t="str">
        <f>Inputs!D66</f>
        <v>Catastrophic</v>
      </c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56">
        <f>Inputs!O66*$I$9</f>
        <v>0</v>
      </c>
      <c r="P116" s="56">
        <f>Inputs!P66*$I$9</f>
        <v>0</v>
      </c>
      <c r="Q116" s="56">
        <f>Inputs!Q66*$I$9</f>
        <v>0</v>
      </c>
      <c r="R116" s="56">
        <f>Inputs!R66*$I$9</f>
        <v>0</v>
      </c>
      <c r="S116" s="56">
        <f>Inputs!S66*$I$9</f>
        <v>0</v>
      </c>
      <c r="T116" s="56">
        <f>Inputs!T66*$I$9</f>
        <v>0</v>
      </c>
      <c r="U116" s="56">
        <f>Inputs!U66*$I$9</f>
        <v>0</v>
      </c>
      <c r="V116" s="56">
        <f>Inputs!V66*$I$9</f>
        <v>0</v>
      </c>
      <c r="W116" s="56">
        <f>Inputs!W66*$I$9</f>
        <v>0</v>
      </c>
      <c r="X116" s="56">
        <f>Inputs!X66*$I$9</f>
        <v>0</v>
      </c>
      <c r="Y116" s="56">
        <f>Inputs!Y66*$I$9</f>
        <v>0</v>
      </c>
      <c r="Z116" s="56">
        <f>Inputs!Z66*$I$9</f>
        <v>0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</row>
    <row r="117" spans="1:57" x14ac:dyDescent="0.2">
      <c r="A117" s="49"/>
      <c r="B117" s="49"/>
      <c r="C117" s="5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</row>
    <row r="118" spans="1:57" x14ac:dyDescent="0.2">
      <c r="A118" s="49"/>
      <c r="B118" s="49"/>
      <c r="C118" s="50" t="s">
        <v>171</v>
      </c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</row>
    <row r="119" spans="1:57" x14ac:dyDescent="0.2">
      <c r="A119" s="49"/>
      <c r="B119" s="49"/>
      <c r="C119" s="50"/>
      <c r="D119" s="51" t="str">
        <f>$O$16</f>
        <v>Network Performance</v>
      </c>
      <c r="E119" s="51"/>
      <c r="F119" s="51"/>
      <c r="G119" s="51"/>
      <c r="H119" s="51"/>
      <c r="I119" s="51"/>
      <c r="J119" s="86" t="str">
        <f>J103</f>
        <v>Significant</v>
      </c>
      <c r="K119" s="51"/>
      <c r="L119" s="51"/>
      <c r="M119" s="51"/>
      <c r="N119" s="51"/>
      <c r="O119" s="70">
        <f>O103*O114*$T$37</f>
        <v>23948.435438827681</v>
      </c>
      <c r="P119" s="70">
        <f t="shared" ref="P119:Z119" si="17">P103*P114*$T$37</f>
        <v>25766.778280631588</v>
      </c>
      <c r="Q119" s="70">
        <f t="shared" si="17"/>
        <v>27544.558154617851</v>
      </c>
      <c r="R119" s="70">
        <f t="shared" si="17"/>
        <v>29973.001295508166</v>
      </c>
      <c r="S119" s="70">
        <f t="shared" si="17"/>
        <v>32418.541219538205</v>
      </c>
      <c r="T119" s="70">
        <f t="shared" si="17"/>
        <v>35867.238989322068</v>
      </c>
      <c r="U119" s="70">
        <f t="shared" si="17"/>
        <v>39623.185486235692</v>
      </c>
      <c r="V119" s="70">
        <f t="shared" si="17"/>
        <v>42640.683346414073</v>
      </c>
      <c r="W119" s="70">
        <f t="shared" si="17"/>
        <v>45910.455841827636</v>
      </c>
      <c r="X119" s="70">
        <f t="shared" si="17"/>
        <v>49454.531763267732</v>
      </c>
      <c r="Y119" s="70">
        <f t="shared" si="17"/>
        <v>53296.914514995151</v>
      </c>
      <c r="Z119" s="70">
        <f t="shared" si="17"/>
        <v>57437.832197382631</v>
      </c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</row>
    <row r="120" spans="1:57" x14ac:dyDescent="0.2">
      <c r="A120" s="49"/>
      <c r="B120" s="49"/>
      <c r="C120" s="50"/>
      <c r="D120" s="51" t="str">
        <f t="shared" ref="D120:D121" si="18">$O$16</f>
        <v>Network Performance</v>
      </c>
      <c r="E120" s="51"/>
      <c r="F120" s="51"/>
      <c r="G120" s="51"/>
      <c r="H120" s="51"/>
      <c r="I120" s="51"/>
      <c r="J120" s="86" t="str">
        <f t="shared" ref="J120:J121" si="19">J104</f>
        <v>Major</v>
      </c>
      <c r="K120" s="51"/>
      <c r="L120" s="51"/>
      <c r="M120" s="51"/>
      <c r="N120" s="51"/>
      <c r="O120" s="138">
        <f>O105*O115*$T$27+IF(Inputs!$K$126=0,O103*O115*$T$27,0)</f>
        <v>162390.15073188412</v>
      </c>
      <c r="P120" s="138">
        <f>P105*P115*$T$27+IF(Inputs!$K$126=0,P103*P115*$T$27,0)</f>
        <v>175235.82057034515</v>
      </c>
      <c r="Q120" s="138">
        <f>Q105*Q115*$T$27+IF(Inputs!$K$126=0,Q103*Q115*$T$27,0)</f>
        <v>186587.95452989606</v>
      </c>
      <c r="R120" s="138">
        <f>R105*R115*$T$27+IF(Inputs!$K$126=0,R103*R115*$T$27,0)</f>
        <v>205658.06651627869</v>
      </c>
      <c r="S120" s="138">
        <f>S105*S115*$T$27+IF(Inputs!$K$126=0,S103*S115*$T$27,0)</f>
        <v>223839.31639635211</v>
      </c>
      <c r="T120" s="138">
        <f>T105*T115*$T$27+IF(Inputs!$K$126=0,T103*T115*$T$27,0)</f>
        <v>254291.94772395052</v>
      </c>
      <c r="U120" s="138">
        <f>U105*U115*$T$27+IF(Inputs!$K$126=0,U103*U115*$T$27,0)</f>
        <v>287554.42329138855</v>
      </c>
      <c r="V120" s="138">
        <f>V105*V115*$T$27+IF(Inputs!$K$126=0,V103*V115*$T$27,0)</f>
        <v>309453.0880836983</v>
      </c>
      <c r="W120" s="138">
        <f>W105*W115*$T$27+IF(Inputs!$K$126=0,W103*W115*$T$27,0)</f>
        <v>333182.56699041853</v>
      </c>
      <c r="X120" s="138">
        <f>X105*X115*$T$27+IF(Inputs!$K$126=0,X103*X115*$T$27,0)</f>
        <v>358902.72793115414</v>
      </c>
      <c r="Y120" s="138">
        <f>Y105*Y115*$T$27+IF(Inputs!$K$126=0,Y103*Y115*$T$27,0)</f>
        <v>386787.76904228784</v>
      </c>
      <c r="Z120" s="138">
        <f>Z105*Z115*$T$27+IF(Inputs!$K$126=0,Z103*Z115*$T$27,0)</f>
        <v>416839.34569984057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</row>
    <row r="121" spans="1:57" x14ac:dyDescent="0.2">
      <c r="A121" s="49"/>
      <c r="B121" s="49"/>
      <c r="C121" s="50"/>
      <c r="D121" s="87" t="str">
        <f t="shared" si="18"/>
        <v>Network Performance</v>
      </c>
      <c r="E121" s="87"/>
      <c r="F121" s="87"/>
      <c r="G121" s="87"/>
      <c r="H121" s="87"/>
      <c r="I121" s="87"/>
      <c r="J121" s="86" t="str">
        <f t="shared" si="19"/>
        <v>Catastrophic</v>
      </c>
      <c r="K121" s="87"/>
      <c r="L121" s="87"/>
      <c r="M121" s="87"/>
      <c r="N121" s="87"/>
      <c r="O121" s="70">
        <f>O107*O116*$T$17</f>
        <v>0</v>
      </c>
      <c r="P121" s="70">
        <f t="shared" ref="P121:Z121" si="20">P107*P116*$T$17</f>
        <v>0</v>
      </c>
      <c r="Q121" s="70">
        <f t="shared" si="20"/>
        <v>0</v>
      </c>
      <c r="R121" s="70">
        <f t="shared" si="20"/>
        <v>0</v>
      </c>
      <c r="S121" s="70">
        <f t="shared" si="20"/>
        <v>0</v>
      </c>
      <c r="T121" s="70">
        <f t="shared" si="20"/>
        <v>0</v>
      </c>
      <c r="U121" s="70">
        <f t="shared" si="20"/>
        <v>0</v>
      </c>
      <c r="V121" s="70">
        <f t="shared" si="20"/>
        <v>0</v>
      </c>
      <c r="W121" s="70">
        <f t="shared" si="20"/>
        <v>0</v>
      </c>
      <c r="X121" s="70">
        <f t="shared" si="20"/>
        <v>0</v>
      </c>
      <c r="Y121" s="70">
        <f t="shared" si="20"/>
        <v>0</v>
      </c>
      <c r="Z121" s="70">
        <f t="shared" si="20"/>
        <v>0</v>
      </c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</row>
    <row r="122" spans="1:57" x14ac:dyDescent="0.2">
      <c r="A122" s="49"/>
      <c r="B122" s="49"/>
      <c r="C122" s="50"/>
      <c r="D122" s="51" t="s">
        <v>189</v>
      </c>
      <c r="E122" s="51"/>
      <c r="F122" s="51"/>
      <c r="G122" s="51"/>
      <c r="H122" s="51"/>
      <c r="I122" s="51"/>
      <c r="J122" s="139" t="str">
        <f>J119</f>
        <v>Significant</v>
      </c>
      <c r="K122" s="51"/>
      <c r="L122" s="51"/>
      <c r="M122" s="51"/>
      <c r="N122" s="51"/>
      <c r="O122" s="117">
        <v>0</v>
      </c>
      <c r="P122" s="117">
        <v>0</v>
      </c>
      <c r="Q122" s="117">
        <v>0</v>
      </c>
      <c r="R122" s="117">
        <v>0</v>
      </c>
      <c r="S122" s="117">
        <v>0</v>
      </c>
      <c r="T122" s="117">
        <v>0</v>
      </c>
      <c r="U122" s="117">
        <v>0</v>
      </c>
      <c r="V122" s="117">
        <v>0</v>
      </c>
      <c r="W122" s="117">
        <v>0</v>
      </c>
      <c r="X122" s="117">
        <v>0</v>
      </c>
      <c r="Y122" s="117">
        <v>0</v>
      </c>
      <c r="Z122" s="117">
        <v>0</v>
      </c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</row>
    <row r="123" spans="1:57" x14ac:dyDescent="0.2">
      <c r="A123" s="49"/>
      <c r="B123" s="49"/>
      <c r="C123" s="50"/>
      <c r="D123" s="87" t="str">
        <f>D122</f>
        <v>Network Performance - Coincidental outage</v>
      </c>
      <c r="E123" s="87"/>
      <c r="F123" s="87"/>
      <c r="G123" s="87"/>
      <c r="H123" s="87"/>
      <c r="I123" s="87"/>
      <c r="J123" s="86" t="str">
        <f>J120</f>
        <v>Major</v>
      </c>
      <c r="K123" s="87"/>
      <c r="L123" s="87"/>
      <c r="M123" s="87"/>
      <c r="N123" s="87"/>
      <c r="O123" s="124">
        <v>0</v>
      </c>
      <c r="P123" s="124">
        <v>0</v>
      </c>
      <c r="Q123" s="124">
        <v>0</v>
      </c>
      <c r="R123" s="124">
        <v>0</v>
      </c>
      <c r="S123" s="124">
        <v>0</v>
      </c>
      <c r="T123" s="124">
        <v>0</v>
      </c>
      <c r="U123" s="124">
        <v>0</v>
      </c>
      <c r="V123" s="124">
        <v>0</v>
      </c>
      <c r="W123" s="124">
        <v>0</v>
      </c>
      <c r="X123" s="124">
        <v>0</v>
      </c>
      <c r="Y123" s="124">
        <v>0</v>
      </c>
      <c r="Z123" s="124">
        <v>0</v>
      </c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</row>
    <row r="124" spans="1:57" x14ac:dyDescent="0.2">
      <c r="A124" s="49"/>
      <c r="B124" s="49"/>
      <c r="C124" s="50"/>
      <c r="D124" s="51" t="s">
        <v>172</v>
      </c>
      <c r="E124" s="51"/>
      <c r="F124" s="51"/>
      <c r="G124" s="51"/>
      <c r="H124" s="51"/>
      <c r="I124" s="51"/>
      <c r="J124" s="139" t="str">
        <f>J119</f>
        <v>Significant</v>
      </c>
      <c r="K124" s="51"/>
      <c r="L124" s="51"/>
      <c r="M124" s="51"/>
      <c r="N124" s="51"/>
      <c r="O124" s="88">
        <f t="shared" ref="O124:Z124" si="21">SUMIF($J$49:$J$51,$J124,$V$49:$V$51)*O114</f>
        <v>5948.2896623950855</v>
      </c>
      <c r="P124" s="88">
        <f t="shared" si="21"/>
        <v>6380.7018639355256</v>
      </c>
      <c r="Q124" s="88">
        <f t="shared" si="21"/>
        <v>6848.456774438202</v>
      </c>
      <c r="R124" s="88">
        <f t="shared" si="21"/>
        <v>7354.5973901783691</v>
      </c>
      <c r="S124" s="88">
        <f t="shared" si="21"/>
        <v>7902.4370152882439</v>
      </c>
      <c r="T124" s="88">
        <f t="shared" si="21"/>
        <v>8495.5837487010758</v>
      </c>
      <c r="U124" s="88">
        <f t="shared" si="21"/>
        <v>9137.9672177957036</v>
      </c>
      <c r="V124" s="88">
        <f t="shared" si="21"/>
        <v>9833.8677666210206</v>
      </c>
      <c r="W124" s="88">
        <f t="shared" si="21"/>
        <v>10587.948325921801</v>
      </c>
      <c r="X124" s="88">
        <f t="shared" si="21"/>
        <v>11405.289213336035</v>
      </c>
      <c r="Y124" s="88">
        <f t="shared" si="21"/>
        <v>12291.42613525782</v>
      </c>
      <c r="Z124" s="88">
        <f t="shared" si="21"/>
        <v>13246.411696587613</v>
      </c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</row>
    <row r="125" spans="1:57" x14ac:dyDescent="0.2">
      <c r="A125" s="49"/>
      <c r="B125" s="49"/>
      <c r="C125" s="50"/>
      <c r="D125" s="51" t="s">
        <v>173</v>
      </c>
      <c r="E125" s="51"/>
      <c r="F125" s="51"/>
      <c r="G125" s="51"/>
      <c r="H125" s="51"/>
      <c r="I125" s="51"/>
      <c r="J125" s="86" t="str">
        <f>J120</f>
        <v>Major</v>
      </c>
      <c r="K125" s="51"/>
      <c r="L125" s="51"/>
      <c r="M125" s="51"/>
      <c r="N125" s="51"/>
      <c r="O125" s="70">
        <f t="shared" ref="O125:Z125" si="22">SUMIF($J$49:$J$51,$J125,$V$49:$V$51)*O115</f>
        <v>130184.58651645531</v>
      </c>
      <c r="P125" s="70">
        <f t="shared" si="22"/>
        <v>139648.38314661902</v>
      </c>
      <c r="Q125" s="70">
        <f t="shared" si="22"/>
        <v>149885.69220031318</v>
      </c>
      <c r="R125" s="70">
        <f t="shared" si="22"/>
        <v>160963.11285719261</v>
      </c>
      <c r="S125" s="70">
        <f t="shared" si="22"/>
        <v>172953.16026916445</v>
      </c>
      <c r="T125" s="70">
        <f t="shared" si="22"/>
        <v>185934.80148295892</v>
      </c>
      <c r="U125" s="70">
        <f t="shared" si="22"/>
        <v>199994.04053410786</v>
      </c>
      <c r="V125" s="70">
        <f t="shared" si="22"/>
        <v>215224.55726199015</v>
      </c>
      <c r="W125" s="70">
        <f t="shared" si="22"/>
        <v>231728.40481892665</v>
      </c>
      <c r="X125" s="70">
        <f t="shared" si="22"/>
        <v>249616.77130916418</v>
      </c>
      <c r="Y125" s="70">
        <f t="shared" si="22"/>
        <v>269010.8114996854</v>
      </c>
      <c r="Z125" s="70">
        <f t="shared" si="22"/>
        <v>289911.67670416244</v>
      </c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</row>
    <row r="126" spans="1:57" x14ac:dyDescent="0.2">
      <c r="A126" s="49"/>
      <c r="B126" s="49"/>
      <c r="C126" s="50"/>
      <c r="D126" s="51" t="s">
        <v>174</v>
      </c>
      <c r="E126" s="51"/>
      <c r="F126" s="51"/>
      <c r="G126" s="51"/>
      <c r="H126" s="51"/>
      <c r="I126" s="51"/>
      <c r="J126" s="86" t="str">
        <f>J121</f>
        <v>Catastrophic</v>
      </c>
      <c r="K126" s="51"/>
      <c r="L126" s="51"/>
      <c r="M126" s="51"/>
      <c r="N126" s="51"/>
      <c r="O126" s="70">
        <f t="shared" ref="O126:Z126" si="23">SUMIF($J$49:$J$51,$J126,$V$49:$V$51)*O116</f>
        <v>0</v>
      </c>
      <c r="P126" s="70">
        <f t="shared" si="23"/>
        <v>0</v>
      </c>
      <c r="Q126" s="70">
        <f t="shared" si="23"/>
        <v>0</v>
      </c>
      <c r="R126" s="70">
        <f t="shared" si="23"/>
        <v>0</v>
      </c>
      <c r="S126" s="70">
        <f t="shared" si="23"/>
        <v>0</v>
      </c>
      <c r="T126" s="70">
        <f t="shared" si="23"/>
        <v>0</v>
      </c>
      <c r="U126" s="70">
        <f t="shared" si="23"/>
        <v>0</v>
      </c>
      <c r="V126" s="70">
        <f t="shared" si="23"/>
        <v>0</v>
      </c>
      <c r="W126" s="70">
        <f t="shared" si="23"/>
        <v>0</v>
      </c>
      <c r="X126" s="70">
        <f t="shared" si="23"/>
        <v>0</v>
      </c>
      <c r="Y126" s="70">
        <f t="shared" si="23"/>
        <v>0</v>
      </c>
      <c r="Z126" s="70">
        <f t="shared" si="23"/>
        <v>0</v>
      </c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</row>
    <row r="127" spans="1:57" x14ac:dyDescent="0.2">
      <c r="A127" s="49"/>
      <c r="B127" s="49"/>
      <c r="C127" s="50"/>
      <c r="D127" s="87" t="s">
        <v>175</v>
      </c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70">
        <f>Inputs!$J$27*$I$11</f>
        <v>42341.084601769915</v>
      </c>
      <c r="P127" s="70">
        <f>Inputs!$J$27*$I$11</f>
        <v>42341.084601769915</v>
      </c>
      <c r="Q127" s="70">
        <f>Inputs!$J$27*$I$11</f>
        <v>42341.084601769915</v>
      </c>
      <c r="R127" s="70">
        <f>Inputs!$J$27*$I$11</f>
        <v>42341.084601769915</v>
      </c>
      <c r="S127" s="70">
        <f>Inputs!$J$27*$I$11</f>
        <v>42341.084601769915</v>
      </c>
      <c r="T127" s="70">
        <f>Inputs!$J$27*$I$11</f>
        <v>42341.084601769915</v>
      </c>
      <c r="U127" s="70">
        <f>Inputs!$J$27*$I$11</f>
        <v>42341.084601769915</v>
      </c>
      <c r="V127" s="70">
        <f>Inputs!$J$27*$I$11</f>
        <v>42341.084601769915</v>
      </c>
      <c r="W127" s="70">
        <f>Inputs!$J$27*$I$11</f>
        <v>42341.084601769915</v>
      </c>
      <c r="X127" s="70">
        <f>Inputs!$J$27*$I$11</f>
        <v>42341.084601769915</v>
      </c>
      <c r="Y127" s="70">
        <f>Inputs!$J$27*$I$11</f>
        <v>42341.084601769915</v>
      </c>
      <c r="Z127" s="70">
        <f>Inputs!$J$27*$I$11</f>
        <v>42341.084601769915</v>
      </c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</row>
    <row r="128" spans="1:57" x14ac:dyDescent="0.2">
      <c r="A128" s="49"/>
      <c r="B128" s="49"/>
      <c r="C128" s="50"/>
      <c r="D128" s="51" t="s">
        <v>163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98">
        <f>SUM(O119:O127)</f>
        <v>364812.54695133213</v>
      </c>
      <c r="P128" s="98">
        <f t="shared" ref="P128:Z128" si="24">SUM(P119:P127)</f>
        <v>389372.76846330124</v>
      </c>
      <c r="Q128" s="98">
        <f t="shared" si="24"/>
        <v>413207.74626103521</v>
      </c>
      <c r="R128" s="98">
        <f t="shared" si="24"/>
        <v>446289.86266092776</v>
      </c>
      <c r="S128" s="98">
        <f t="shared" si="24"/>
        <v>479454.53950211289</v>
      </c>
      <c r="T128" s="98">
        <f t="shared" si="24"/>
        <v>526930.65654670249</v>
      </c>
      <c r="U128" s="98">
        <f t="shared" si="24"/>
        <v>578650.70113129774</v>
      </c>
      <c r="V128" s="98">
        <f t="shared" si="24"/>
        <v>619493.28106049343</v>
      </c>
      <c r="W128" s="98">
        <f t="shared" si="24"/>
        <v>663750.46057886444</v>
      </c>
      <c r="X128" s="98">
        <f t="shared" si="24"/>
        <v>711720.40481869201</v>
      </c>
      <c r="Y128" s="98">
        <f t="shared" si="24"/>
        <v>763728.00579399616</v>
      </c>
      <c r="Z128" s="98">
        <f t="shared" si="24"/>
        <v>819776.35089974315</v>
      </c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</row>
    <row r="129" spans="1:57" x14ac:dyDescent="0.2">
      <c r="A129" s="49"/>
      <c r="B129" s="49"/>
      <c r="C129" s="5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</row>
    <row r="130" spans="1:57" x14ac:dyDescent="0.2">
      <c r="A130" s="52" t="s">
        <v>176</v>
      </c>
      <c r="B130" s="52"/>
      <c r="C130" s="53"/>
      <c r="D130" s="54"/>
      <c r="E130" s="54"/>
      <c r="F130" s="54"/>
      <c r="G130" s="54"/>
      <c r="H130" s="54"/>
      <c r="I130" s="54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">
      <c r="A131" s="49"/>
      <c r="B131" s="49"/>
      <c r="C131" s="50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</row>
    <row r="132" spans="1:57" x14ac:dyDescent="0.2">
      <c r="A132" s="49"/>
      <c r="B132" s="49" t="s">
        <v>177</v>
      </c>
      <c r="C132" s="50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</row>
    <row r="133" spans="1:57" x14ac:dyDescent="0.2">
      <c r="A133" s="49"/>
      <c r="B133" s="49"/>
      <c r="C133" s="50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</row>
    <row r="134" spans="1:57" x14ac:dyDescent="0.2">
      <c r="A134" s="49"/>
      <c r="B134" s="49"/>
      <c r="C134" s="50" t="s">
        <v>178</v>
      </c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</row>
    <row r="135" spans="1:57" x14ac:dyDescent="0.2">
      <c r="A135" s="49"/>
      <c r="B135" s="49"/>
      <c r="C135" s="50"/>
      <c r="D135" s="51" t="str">
        <f>Inputs!D22</f>
        <v>Capex ($2021)</v>
      </c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70">
        <f>Inputs!O22*'Scenario D'!$I$10</f>
        <v>0</v>
      </c>
      <c r="P135" s="70">
        <f>Inputs!P22*'Scenario D'!$I$10</f>
        <v>0</v>
      </c>
      <c r="Q135" s="70">
        <f>Inputs!Q22*'Scenario D'!$I$10</f>
        <v>69946.725663716818</v>
      </c>
      <c r="R135" s="70">
        <f>Inputs!R22*'Scenario D'!$I$10</f>
        <v>2050931.2587610621</v>
      </c>
      <c r="S135" s="70">
        <f>Inputs!S22*'Scenario D'!$I$10</f>
        <v>5475164.0200180523</v>
      </c>
      <c r="T135" s="70">
        <f>Inputs!T22*'Scenario D'!$I$10</f>
        <v>0</v>
      </c>
      <c r="U135" s="70">
        <f>Inputs!U22*'Scenario D'!$I$10</f>
        <v>0</v>
      </c>
      <c r="V135" s="70">
        <f>Inputs!V22*'Scenario D'!$I$10</f>
        <v>0</v>
      </c>
      <c r="W135" s="70">
        <f>Inputs!W22*'Scenario D'!$I$10</f>
        <v>0</v>
      </c>
      <c r="X135" s="70">
        <f>Inputs!X22*'Scenario D'!$I$10</f>
        <v>0</v>
      </c>
      <c r="Y135" s="70">
        <f>Inputs!Y22*'Scenario D'!$I$10</f>
        <v>0</v>
      </c>
      <c r="Z135" s="70">
        <f>Inputs!Z22*'Scenario D'!$I$10</f>
        <v>0</v>
      </c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</row>
    <row r="136" spans="1:57" x14ac:dyDescent="0.2">
      <c r="A136" s="49"/>
      <c r="B136" s="49"/>
      <c r="C136" s="50"/>
      <c r="D136" s="51" t="s">
        <v>179</v>
      </c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70">
        <f>(O135&lt;&gt;0)*1</f>
        <v>0</v>
      </c>
      <c r="P136" s="70">
        <f t="shared" ref="P136:Z136" si="25">(P135&lt;&gt;0)*1</f>
        <v>0</v>
      </c>
      <c r="Q136" s="70">
        <f t="shared" si="25"/>
        <v>1</v>
      </c>
      <c r="R136" s="70">
        <f t="shared" si="25"/>
        <v>1</v>
      </c>
      <c r="S136" s="70">
        <f t="shared" si="25"/>
        <v>1</v>
      </c>
      <c r="T136" s="70">
        <f t="shared" si="25"/>
        <v>0</v>
      </c>
      <c r="U136" s="70">
        <f t="shared" si="25"/>
        <v>0</v>
      </c>
      <c r="V136" s="70">
        <f t="shared" si="25"/>
        <v>0</v>
      </c>
      <c r="W136" s="70">
        <f t="shared" si="25"/>
        <v>0</v>
      </c>
      <c r="X136" s="70">
        <f t="shared" si="25"/>
        <v>0</v>
      </c>
      <c r="Y136" s="70">
        <f t="shared" si="25"/>
        <v>0</v>
      </c>
      <c r="Z136" s="70">
        <f t="shared" si="25"/>
        <v>0</v>
      </c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</row>
    <row r="137" spans="1:57" x14ac:dyDescent="0.2">
      <c r="A137" s="49"/>
      <c r="B137" s="49"/>
      <c r="C137" s="50"/>
      <c r="D137" s="51" t="s">
        <v>180</v>
      </c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6">
        <f>(O136=1)*(1+Inputs!$J$11)^(SUM(O136:$Z136)-1)</f>
        <v>0</v>
      </c>
      <c r="P137" s="56">
        <f>(P136=1)*(1+Inputs!$J$11)^(SUM(P136:$Z136)-1)</f>
        <v>0</v>
      </c>
      <c r="Q137" s="56">
        <f>(Q136=1)*(1+Inputs!$J$11)^(SUM(Q136:$Z136)-1)</f>
        <v>1.0557562500000002</v>
      </c>
      <c r="R137" s="56">
        <f>(R136=1)*(1+Inputs!$J$11)^(SUM(R136:$Z136)-1)</f>
        <v>1.0275000000000001</v>
      </c>
      <c r="S137" s="56">
        <f>(S136=1)*(1+Inputs!$J$11)^(SUM(S136:$Z136)-1)</f>
        <v>1</v>
      </c>
      <c r="T137" s="56">
        <f>(T136=1)*(1+Inputs!$J$11)^(SUM(T136:$Z136)-1)</f>
        <v>0</v>
      </c>
      <c r="U137" s="56">
        <f>(U136=1)*(1+Inputs!$J$11)^(SUM(U136:$Z136)-1)</f>
        <v>0</v>
      </c>
      <c r="V137" s="56">
        <f>(V136=1)*(1+Inputs!$J$11)^(SUM(V136:$Z136)-1)</f>
        <v>0</v>
      </c>
      <c r="W137" s="56">
        <f>(W136=1)*(1+Inputs!$J$11)^(SUM(W136:$Z136)-1)</f>
        <v>0</v>
      </c>
      <c r="X137" s="56">
        <f>(X136=1)*(1+Inputs!$J$11)^(SUM(X136:$Z136)-1)</f>
        <v>0</v>
      </c>
      <c r="Y137" s="56">
        <f>(Y136=1)*(1+Inputs!$J$11)^(SUM(Y136:$Z136)-1)</f>
        <v>0</v>
      </c>
      <c r="Z137" s="56">
        <f>(Z136=1)*(1+Inputs!$J$11)^(SUM(Z136:$Z136)-1)</f>
        <v>0</v>
      </c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</row>
    <row r="138" spans="1:57" x14ac:dyDescent="0.2">
      <c r="A138" s="49"/>
      <c r="B138" s="49"/>
      <c r="C138" s="50"/>
      <c r="D138" s="51" t="s">
        <v>181</v>
      </c>
      <c r="E138" s="51"/>
      <c r="F138" s="51"/>
      <c r="G138" s="51"/>
      <c r="H138" s="51"/>
      <c r="I138" s="51"/>
      <c r="J138" s="70">
        <f>PMT(Inputs!$J$11,Inputs!$J$12,-SUMPRODUCT('Scenario D'!O135:Z135,'Scenario D'!O137:Z137),0,0)</f>
        <v>283597.96922458196</v>
      </c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</row>
    <row r="139" spans="1:57" x14ac:dyDescent="0.2">
      <c r="A139" s="49"/>
      <c r="B139" s="49"/>
      <c r="C139" s="50"/>
      <c r="D139" s="51" t="s">
        <v>182</v>
      </c>
      <c r="E139" s="51"/>
      <c r="F139" s="51"/>
      <c r="G139" s="51"/>
      <c r="H139" s="51"/>
      <c r="I139" s="51"/>
      <c r="J139" s="70">
        <f>Inputs!K27*$I$11</f>
        <v>18745.722477876108</v>
      </c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</row>
    <row r="140" spans="1:57" x14ac:dyDescent="0.2">
      <c r="A140" s="49"/>
      <c r="B140" s="49"/>
      <c r="C140" s="50"/>
      <c r="D140" s="51" t="s">
        <v>183</v>
      </c>
      <c r="E140" s="51"/>
      <c r="F140" s="51"/>
      <c r="G140" s="51"/>
      <c r="H140" s="51"/>
      <c r="I140" s="51"/>
      <c r="J140" s="70">
        <f>SUM(J138:J139)</f>
        <v>302343.69170245808</v>
      </c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</row>
    <row r="141" spans="1:57" x14ac:dyDescent="0.2">
      <c r="A141" s="49"/>
      <c r="B141" s="49"/>
      <c r="C141" s="50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</row>
    <row r="142" spans="1:57" x14ac:dyDescent="0.2">
      <c r="A142" s="52" t="s">
        <v>184</v>
      </c>
      <c r="B142" s="52"/>
      <c r="C142" s="53"/>
      <c r="D142" s="54"/>
      <c r="E142" s="54"/>
      <c r="F142" s="54"/>
      <c r="G142" s="54"/>
      <c r="H142" s="54"/>
      <c r="I142" s="54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">
      <c r="A143" s="49"/>
      <c r="B143" s="49"/>
      <c r="C143" s="50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</row>
    <row r="144" spans="1:57" x14ac:dyDescent="0.2">
      <c r="A144" s="49"/>
      <c r="B144" s="49" t="s">
        <v>185</v>
      </c>
      <c r="C144" s="50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</row>
    <row r="145" spans="1:57" x14ac:dyDescent="0.2">
      <c r="A145" s="49"/>
      <c r="B145" s="49"/>
      <c r="C145" s="50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</row>
    <row r="146" spans="1:57" x14ac:dyDescent="0.2">
      <c r="A146" s="49"/>
      <c r="B146" s="49"/>
      <c r="C146" s="50" t="s">
        <v>8</v>
      </c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86">
        <f t="shared" ref="O146:Z146" si="26">O2</f>
        <v>2019</v>
      </c>
      <c r="P146" s="86">
        <f t="shared" si="26"/>
        <v>2020</v>
      </c>
      <c r="Q146" s="86">
        <f t="shared" si="26"/>
        <v>2021</v>
      </c>
      <c r="R146" s="86">
        <f t="shared" si="26"/>
        <v>2022</v>
      </c>
      <c r="S146" s="86">
        <f t="shared" si="26"/>
        <v>2023</v>
      </c>
      <c r="T146" s="86">
        <f t="shared" si="26"/>
        <v>2024</v>
      </c>
      <c r="U146" s="86">
        <f t="shared" si="26"/>
        <v>2025</v>
      </c>
      <c r="V146" s="86">
        <f t="shared" si="26"/>
        <v>2026</v>
      </c>
      <c r="W146" s="86">
        <f t="shared" si="26"/>
        <v>2027</v>
      </c>
      <c r="X146" s="86">
        <f t="shared" si="26"/>
        <v>2028</v>
      </c>
      <c r="Y146" s="86">
        <f t="shared" si="26"/>
        <v>2029</v>
      </c>
      <c r="Z146" s="86">
        <f t="shared" si="26"/>
        <v>2030</v>
      </c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</row>
    <row r="147" spans="1:57" x14ac:dyDescent="0.2">
      <c r="A147" s="49"/>
      <c r="B147" s="49"/>
      <c r="C147" s="50"/>
      <c r="D147" s="51" t="s">
        <v>186</v>
      </c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70">
        <f>O128</f>
        <v>364812.54695133213</v>
      </c>
      <c r="P147" s="70">
        <f t="shared" ref="P147:Z147" si="27">P128</f>
        <v>389372.76846330124</v>
      </c>
      <c r="Q147" s="70">
        <f t="shared" si="27"/>
        <v>413207.74626103521</v>
      </c>
      <c r="R147" s="70">
        <f t="shared" si="27"/>
        <v>446289.86266092776</v>
      </c>
      <c r="S147" s="70">
        <f t="shared" si="27"/>
        <v>479454.53950211289</v>
      </c>
      <c r="T147" s="70">
        <f t="shared" si="27"/>
        <v>526930.65654670249</v>
      </c>
      <c r="U147" s="70">
        <f t="shared" si="27"/>
        <v>578650.70113129774</v>
      </c>
      <c r="V147" s="70">
        <f t="shared" si="27"/>
        <v>619493.28106049343</v>
      </c>
      <c r="W147" s="70">
        <f t="shared" si="27"/>
        <v>663750.46057886444</v>
      </c>
      <c r="X147" s="70">
        <f t="shared" si="27"/>
        <v>711720.40481869201</v>
      </c>
      <c r="Y147" s="70">
        <f t="shared" si="27"/>
        <v>763728.00579399616</v>
      </c>
      <c r="Z147" s="70">
        <f t="shared" si="27"/>
        <v>819776.35089974315</v>
      </c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</row>
    <row r="148" spans="1:57" x14ac:dyDescent="0.2">
      <c r="A148" s="49"/>
      <c r="B148" s="49"/>
      <c r="C148" s="50"/>
      <c r="D148" s="51" t="s">
        <v>176</v>
      </c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70">
        <f>$J$140</f>
        <v>302343.69170245808</v>
      </c>
      <c r="P148" s="70">
        <f t="shared" ref="P148:Z148" si="28">$J$140</f>
        <v>302343.69170245808</v>
      </c>
      <c r="Q148" s="70">
        <f t="shared" si="28"/>
        <v>302343.69170245808</v>
      </c>
      <c r="R148" s="70">
        <f t="shared" si="28"/>
        <v>302343.69170245808</v>
      </c>
      <c r="S148" s="70">
        <f t="shared" si="28"/>
        <v>302343.69170245808</v>
      </c>
      <c r="T148" s="70">
        <f t="shared" si="28"/>
        <v>302343.69170245808</v>
      </c>
      <c r="U148" s="70">
        <f t="shared" si="28"/>
        <v>302343.69170245808</v>
      </c>
      <c r="V148" s="70">
        <f t="shared" si="28"/>
        <v>302343.69170245808</v>
      </c>
      <c r="W148" s="70">
        <f t="shared" si="28"/>
        <v>302343.69170245808</v>
      </c>
      <c r="X148" s="70">
        <f t="shared" si="28"/>
        <v>302343.69170245808</v>
      </c>
      <c r="Y148" s="70">
        <f t="shared" si="28"/>
        <v>302343.69170245808</v>
      </c>
      <c r="Z148" s="70">
        <f t="shared" si="28"/>
        <v>302343.69170245808</v>
      </c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</row>
    <row r="149" spans="1:57" x14ac:dyDescent="0.2">
      <c r="A149" s="49"/>
      <c r="B149" s="49"/>
      <c r="C149" s="50"/>
      <c r="D149" s="51" t="s">
        <v>187</v>
      </c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99" t="b">
        <f>(O147&gt;=O148)</f>
        <v>1</v>
      </c>
      <c r="P149" s="99" t="b">
        <f t="shared" ref="P149:Z149" si="29">(P147&gt;=P148)</f>
        <v>1</v>
      </c>
      <c r="Q149" s="99" t="b">
        <f t="shared" si="29"/>
        <v>1</v>
      </c>
      <c r="R149" s="99" t="b">
        <f t="shared" si="29"/>
        <v>1</v>
      </c>
      <c r="S149" s="99" t="b">
        <f t="shared" si="29"/>
        <v>1</v>
      </c>
      <c r="T149" s="99" t="b">
        <f t="shared" si="29"/>
        <v>1</v>
      </c>
      <c r="U149" s="99" t="b">
        <f t="shared" si="29"/>
        <v>1</v>
      </c>
      <c r="V149" s="99" t="b">
        <f t="shared" si="29"/>
        <v>1</v>
      </c>
      <c r="W149" s="99" t="b">
        <f t="shared" si="29"/>
        <v>1</v>
      </c>
      <c r="X149" s="99" t="b">
        <f t="shared" si="29"/>
        <v>1</v>
      </c>
      <c r="Y149" s="99" t="b">
        <f t="shared" si="29"/>
        <v>1</v>
      </c>
      <c r="Z149" s="99" t="b">
        <f t="shared" si="29"/>
        <v>1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</row>
    <row r="150" spans="1:57" x14ac:dyDescent="0.2">
      <c r="A150" s="49"/>
      <c r="B150" s="49"/>
      <c r="C150" s="50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</row>
    <row r="151" spans="1:57" x14ac:dyDescent="0.2">
      <c r="A151" s="52" t="s">
        <v>147</v>
      </c>
      <c r="B151" s="52"/>
      <c r="C151" s="53"/>
      <c r="D151" s="54"/>
      <c r="E151" s="54"/>
      <c r="F151" s="54"/>
      <c r="G151" s="54"/>
      <c r="H151" s="54"/>
      <c r="I151" s="54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"/>
    <row r="153" spans="1:57" hidden="1" x14ac:dyDescent="0.2"/>
    <row r="154" spans="1:57" hidden="1" x14ac:dyDescent="0.2"/>
    <row r="155" spans="1:57" hidden="1" x14ac:dyDescent="0.2"/>
    <row r="156" spans="1:57" hidden="1" x14ac:dyDescent="0.2"/>
    <row r="157" spans="1:57" hidden="1" x14ac:dyDescent="0.2"/>
    <row r="158" spans="1:57" hidden="1" x14ac:dyDescent="0.2"/>
    <row r="159" spans="1:57" hidden="1" x14ac:dyDescent="0.2"/>
    <row r="160" spans="1:57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Inputs!$D$44:$D$48</xm:f>
          </x14:formula1>
          <xm:sqref>I8</xm:sqref>
        </x14:dataValidation>
        <x14:dataValidation type="list" allowBlank="1" showInputMessage="1" showErrorMessage="1">
          <x14:formula1>
            <xm:f>Inputs!$D$64:$D$66</xm:f>
          </x14:formula1>
          <xm:sqref>J17:J46 J49:J51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E51"/>
  <sheetViews>
    <sheetView showGridLines="0" zoomScaleNormal="100" workbookViewId="0">
      <selection activeCell="M9" sqref="M9"/>
    </sheetView>
  </sheetViews>
  <sheetFormatPr defaultColWidth="0" defaultRowHeight="12.75" zeroHeight="1" x14ac:dyDescent="0.2"/>
  <cols>
    <col min="1" max="8" width="3.125" customWidth="1"/>
    <col min="9" max="26" width="9" customWidth="1"/>
    <col min="27" max="27" width="3.25" customWidth="1"/>
    <col min="28" max="57" width="0.75" customWidth="1"/>
    <col min="58" max="16384" width="9" hidden="1"/>
  </cols>
  <sheetData>
    <row r="1" spans="1:57" x14ac:dyDescent="0.2">
      <c r="A1" s="1" t="str">
        <f>Inputs!A1</f>
        <v>CitiPower - B Switchboard Risk Monetisation Model</v>
      </c>
      <c r="B1" s="1"/>
      <c r="C1" s="2"/>
      <c r="D1" s="3"/>
      <c r="E1" s="3"/>
      <c r="F1" s="3"/>
      <c r="G1" s="3"/>
      <c r="H1" s="3"/>
      <c r="I1" s="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x14ac:dyDescent="0.2">
      <c r="A2" s="4" t="str">
        <f ca="1">RIGHT(CELL("filename", $A$1), LEN(CELL("filename", $A$1)) - SEARCH("]", CELL("filename", $A$1)))</f>
        <v>Summary</v>
      </c>
      <c r="B2" s="4"/>
      <c r="C2" s="5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7">
        <f>Inputs!O2</f>
        <v>2019</v>
      </c>
      <c r="P2" s="7">
        <f>Inputs!P2</f>
        <v>2020</v>
      </c>
      <c r="Q2" s="7">
        <f>Inputs!Q2</f>
        <v>2021</v>
      </c>
      <c r="R2" s="7">
        <f>Inputs!R2</f>
        <v>2022</v>
      </c>
      <c r="S2" s="7">
        <f>Inputs!S2</f>
        <v>2023</v>
      </c>
      <c r="T2" s="7">
        <f>Inputs!T2</f>
        <v>2024</v>
      </c>
      <c r="U2" s="7">
        <f>Inputs!U2</f>
        <v>2025</v>
      </c>
      <c r="V2" s="7">
        <f>Inputs!V2</f>
        <v>2026</v>
      </c>
      <c r="W2" s="7">
        <f>Inputs!W2</f>
        <v>2027</v>
      </c>
      <c r="X2" s="7">
        <f>Inputs!X2</f>
        <v>2028</v>
      </c>
      <c r="Y2" s="7">
        <f>Inputs!Y2</f>
        <v>2029</v>
      </c>
      <c r="Z2" s="7">
        <f>Inputs!Z2</f>
        <v>2030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7" x14ac:dyDescent="0.2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</row>
    <row r="4" spans="1:57" x14ac:dyDescent="0.2">
      <c r="A4" s="11" t="s">
        <v>184</v>
      </c>
      <c r="B4" s="11"/>
      <c r="C4" s="12"/>
      <c r="D4" s="13"/>
      <c r="E4" s="13"/>
      <c r="F4" s="13"/>
      <c r="G4" s="13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x14ac:dyDescent="0.2">
      <c r="A5" s="8"/>
      <c r="B5" s="8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</row>
    <row r="6" spans="1:57" x14ac:dyDescent="0.2">
      <c r="A6" s="8"/>
      <c r="B6" s="8" t="s">
        <v>185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</row>
    <row r="7" spans="1:57" x14ac:dyDescent="0.2">
      <c r="A7" s="8"/>
      <c r="B7" s="8"/>
      <c r="C7" s="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</row>
    <row r="8" spans="1:57" x14ac:dyDescent="0.2">
      <c r="A8" s="8"/>
      <c r="B8" s="8"/>
      <c r="C8" s="9" t="s">
        <v>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30">
        <f t="shared" ref="O8:Z8" si="0">O2</f>
        <v>2019</v>
      </c>
      <c r="P8" s="30">
        <f t="shared" si="0"/>
        <v>2020</v>
      </c>
      <c r="Q8" s="30">
        <f t="shared" si="0"/>
        <v>2021</v>
      </c>
      <c r="R8" s="30">
        <f t="shared" si="0"/>
        <v>2022</v>
      </c>
      <c r="S8" s="30">
        <f t="shared" si="0"/>
        <v>2023</v>
      </c>
      <c r="T8" s="30">
        <f t="shared" si="0"/>
        <v>2024</v>
      </c>
      <c r="U8" s="30">
        <f t="shared" si="0"/>
        <v>2025</v>
      </c>
      <c r="V8" s="30">
        <f t="shared" si="0"/>
        <v>2026</v>
      </c>
      <c r="W8" s="30">
        <f t="shared" si="0"/>
        <v>2027</v>
      </c>
      <c r="X8" s="30">
        <f t="shared" si="0"/>
        <v>2028</v>
      </c>
      <c r="Y8" s="30">
        <f t="shared" si="0"/>
        <v>2029</v>
      </c>
      <c r="Z8" s="30">
        <f t="shared" si="0"/>
        <v>2030</v>
      </c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</row>
    <row r="9" spans="1:57" x14ac:dyDescent="0.2">
      <c r="A9" s="8"/>
      <c r="B9" s="8"/>
      <c r="C9" s="9"/>
      <c r="D9" s="10" t="s">
        <v>186</v>
      </c>
      <c r="E9" s="10"/>
      <c r="F9" s="10"/>
      <c r="G9" s="10"/>
      <c r="H9" s="10"/>
      <c r="I9" s="10" t="str">
        <f>"Scenario "&amp;'Base Case'!$I$8</f>
        <v>Scenario Base case</v>
      </c>
      <c r="J9" s="10"/>
      <c r="K9" s="10"/>
      <c r="L9" s="10"/>
      <c r="M9" s="10"/>
      <c r="N9" s="10"/>
      <c r="O9" s="19">
        <f>'Base Case'!O147</f>
        <v>324632.01063571544</v>
      </c>
      <c r="P9" s="19">
        <f>'Base Case'!P147</f>
        <v>345691.2496026135</v>
      </c>
      <c r="Q9" s="19">
        <f>'Base Case'!Q147</f>
        <v>366320.89890207618</v>
      </c>
      <c r="R9" s="19">
        <f>'Base Case'!R147</f>
        <v>394382.29887987924</v>
      </c>
      <c r="S9" s="19">
        <f>'Base Case'!S147</f>
        <v>422675.32745856495</v>
      </c>
      <c r="T9" s="19">
        <f>'Base Case'!T147</f>
        <v>462413.83715508849</v>
      </c>
      <c r="U9" s="19">
        <f>'Base Case'!U147</f>
        <v>505689.47671769629</v>
      </c>
      <c r="V9" s="19">
        <f>'Base Case'!V147</f>
        <v>540617.42988593923</v>
      </c>
      <c r="W9" s="19">
        <f>'Base Case'!W147</f>
        <v>578465.49668916245</v>
      </c>
      <c r="X9" s="19">
        <f>'Base Case'!X147</f>
        <v>619488.66341360856</v>
      </c>
      <c r="Y9" s="19">
        <f>'Base Case'!Y147</f>
        <v>663964.77276828652</v>
      </c>
      <c r="Z9" s="19">
        <f>'Base Case'!Z147</f>
        <v>711896.46504641429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</row>
    <row r="10" spans="1:57" x14ac:dyDescent="0.2">
      <c r="A10" s="8"/>
      <c r="B10" s="8"/>
      <c r="C10" s="9"/>
      <c r="D10" s="29" t="s">
        <v>176</v>
      </c>
      <c r="E10" s="29"/>
      <c r="F10" s="29"/>
      <c r="G10" s="29"/>
      <c r="H10" s="29"/>
      <c r="I10" s="29" t="str">
        <f>I9</f>
        <v>Scenario Base case</v>
      </c>
      <c r="J10" s="29"/>
      <c r="K10" s="29"/>
      <c r="L10" s="29"/>
      <c r="M10" s="29"/>
      <c r="N10" s="29"/>
      <c r="O10" s="19">
        <f>'Base Case'!O148</f>
        <v>335937.4352249534</v>
      </c>
      <c r="P10" s="19">
        <f>'Base Case'!P148</f>
        <v>335937.4352249534</v>
      </c>
      <c r="Q10" s="19">
        <f>'Base Case'!Q148</f>
        <v>335937.4352249534</v>
      </c>
      <c r="R10" s="19">
        <f>'Base Case'!R148</f>
        <v>335937.4352249534</v>
      </c>
      <c r="S10" s="19">
        <f>'Base Case'!S148</f>
        <v>335937.4352249534</v>
      </c>
      <c r="T10" s="19">
        <f>'Base Case'!T148</f>
        <v>335937.4352249534</v>
      </c>
      <c r="U10" s="19">
        <f>'Base Case'!U148</f>
        <v>335937.4352249534</v>
      </c>
      <c r="V10" s="19">
        <f>'Base Case'!V148</f>
        <v>335937.4352249534</v>
      </c>
      <c r="W10" s="19">
        <f>'Base Case'!W148</f>
        <v>335937.4352249534</v>
      </c>
      <c r="X10" s="19">
        <f>'Base Case'!X148</f>
        <v>335937.4352249534</v>
      </c>
      <c r="Y10" s="19">
        <f>'Base Case'!Y148</f>
        <v>335937.4352249534</v>
      </c>
      <c r="Z10" s="19">
        <f>'Base Case'!Z148</f>
        <v>335937.4352249534</v>
      </c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</row>
    <row r="11" spans="1:57" x14ac:dyDescent="0.2">
      <c r="A11" s="8"/>
      <c r="B11" s="8"/>
      <c r="C11" s="9"/>
      <c r="D11" s="10" t="str">
        <f>D9</f>
        <v>Risk cost</v>
      </c>
      <c r="E11" s="10"/>
      <c r="F11" s="10"/>
      <c r="G11" s="10"/>
      <c r="H11" s="10"/>
      <c r="I11" s="10" t="str">
        <f>"Scenario "&amp;'Scenario A'!$I$8</f>
        <v>Scenario A</v>
      </c>
      <c r="J11" s="10"/>
      <c r="K11" s="10"/>
      <c r="L11" s="10"/>
      <c r="M11" s="10"/>
      <c r="N11" s="10"/>
      <c r="O11" s="36">
        <f>'Scenario A'!O147</f>
        <v>290015.8269842685</v>
      </c>
      <c r="P11" s="36">
        <f>'Scenario A'!P147</f>
        <v>308013.78676478146</v>
      </c>
      <c r="Q11" s="36">
        <f>'Scenario A'!Q147</f>
        <v>325827.71588388016</v>
      </c>
      <c r="R11" s="36">
        <f>'Scenario A'!R147</f>
        <v>349519.53266456921</v>
      </c>
      <c r="S11" s="36">
        <f>'Scenario A'!S147</f>
        <v>373562.48085056536</v>
      </c>
      <c r="T11" s="36">
        <f>'Scenario A'!T147</f>
        <v>406600.57991959399</v>
      </c>
      <c r="U11" s="36">
        <f>'Scenario A'!U147</f>
        <v>442564.64667649264</v>
      </c>
      <c r="V11" s="36">
        <f>'Scenario A'!V147</f>
        <v>472327.06224979367</v>
      </c>
      <c r="W11" s="36">
        <f>'Scenario A'!W147</f>
        <v>504577.73229099659</v>
      </c>
      <c r="X11" s="36">
        <f>'Scenario A'!X147</f>
        <v>539533.93285346997</v>
      </c>
      <c r="Y11" s="36">
        <f>'Scenario A'!Y147</f>
        <v>577432.41614910867</v>
      </c>
      <c r="Z11" s="36">
        <f>'Scenario A'!Z147</f>
        <v>618275.43199494644</v>
      </c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</row>
    <row r="12" spans="1:57" x14ac:dyDescent="0.2">
      <c r="A12" s="8"/>
      <c r="B12" s="8"/>
      <c r="C12" s="9"/>
      <c r="D12" s="29" t="str">
        <f t="shared" ref="D12:D18" si="1">D10</f>
        <v>Annualised cost</v>
      </c>
      <c r="E12" s="29"/>
      <c r="F12" s="29"/>
      <c r="G12" s="29"/>
      <c r="H12" s="29"/>
      <c r="I12" s="29" t="str">
        <f>I11</f>
        <v>Scenario A</v>
      </c>
      <c r="J12" s="29"/>
      <c r="K12" s="29"/>
      <c r="L12" s="29"/>
      <c r="M12" s="29"/>
      <c r="N12" s="29"/>
      <c r="O12" s="36">
        <f>'Scenario A'!O148</f>
        <v>369531.17874744878</v>
      </c>
      <c r="P12" s="36">
        <f>'Scenario A'!P148</f>
        <v>369531.17874744878</v>
      </c>
      <c r="Q12" s="36">
        <f>'Scenario A'!Q148</f>
        <v>369531.17874744878</v>
      </c>
      <c r="R12" s="36">
        <f>'Scenario A'!R148</f>
        <v>369531.17874744878</v>
      </c>
      <c r="S12" s="36">
        <f>'Scenario A'!S148</f>
        <v>369531.17874744878</v>
      </c>
      <c r="T12" s="36">
        <f>'Scenario A'!T148</f>
        <v>369531.17874744878</v>
      </c>
      <c r="U12" s="36">
        <f>'Scenario A'!U148</f>
        <v>369531.17874744878</v>
      </c>
      <c r="V12" s="36">
        <f>'Scenario A'!V148</f>
        <v>369531.17874744878</v>
      </c>
      <c r="W12" s="36">
        <f>'Scenario A'!W148</f>
        <v>369531.17874744878</v>
      </c>
      <c r="X12" s="36">
        <f>'Scenario A'!X148</f>
        <v>369531.17874744878</v>
      </c>
      <c r="Y12" s="36">
        <f>'Scenario A'!Y148</f>
        <v>369531.17874744878</v>
      </c>
      <c r="Z12" s="36">
        <f>'Scenario A'!Z148</f>
        <v>369531.17874744878</v>
      </c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7" x14ac:dyDescent="0.2">
      <c r="A13" s="8"/>
      <c r="B13" s="8"/>
      <c r="C13" s="9"/>
      <c r="D13" s="10" t="str">
        <f t="shared" si="1"/>
        <v>Risk cost</v>
      </c>
      <c r="E13" s="10"/>
      <c r="F13" s="10"/>
      <c r="G13" s="10"/>
      <c r="H13" s="10"/>
      <c r="I13" s="10" t="str">
        <f>"Scenario "&amp;'Scenario B'!$I$8</f>
        <v>Scenario B</v>
      </c>
      <c r="J13" s="10"/>
      <c r="K13" s="10"/>
      <c r="L13" s="10"/>
      <c r="M13" s="10"/>
      <c r="N13" s="10"/>
      <c r="O13" s="36">
        <f>'Scenario B'!O147</f>
        <v>256204.35005322349</v>
      </c>
      <c r="P13" s="36">
        <f>'Scenario B'!P147</f>
        <v>272428.37594746624</v>
      </c>
      <c r="Q13" s="36">
        <f>'Scenario B'!Q147</f>
        <v>288323.38075486897</v>
      </c>
      <c r="R13" s="36">
        <f>'Scenario B'!R147</f>
        <v>309938.79916779546</v>
      </c>
      <c r="S13" s="36">
        <f>'Scenario B'!S147</f>
        <v>331734.28238457505</v>
      </c>
      <c r="T13" s="36">
        <f>'Scenario B'!T147</f>
        <v>362339.04796721478</v>
      </c>
      <c r="U13" s="36">
        <f>'Scenario B'!U147</f>
        <v>395667.79176202498</v>
      </c>
      <c r="V13" s="36">
        <f>'Scenario B'!V147</f>
        <v>422575.33515401959</v>
      </c>
      <c r="W13" s="36">
        <f>'Scenario B'!W147</f>
        <v>451732.45452214754</v>
      </c>
      <c r="X13" s="36">
        <f>'Scenario B'!X147</f>
        <v>483335.58435337647</v>
      </c>
      <c r="Y13" s="36">
        <f>'Scenario B'!Y147</f>
        <v>517598.76709997363</v>
      </c>
      <c r="Z13" s="36">
        <f>'Scenario B'!Z147</f>
        <v>554524.03677189071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</row>
    <row r="14" spans="1:57" x14ac:dyDescent="0.2">
      <c r="A14" s="8"/>
      <c r="B14" s="8"/>
      <c r="C14" s="9"/>
      <c r="D14" s="29" t="str">
        <f t="shared" si="1"/>
        <v>Annualised cost</v>
      </c>
      <c r="E14" s="29"/>
      <c r="F14" s="29"/>
      <c r="G14" s="29"/>
      <c r="H14" s="29"/>
      <c r="I14" s="29" t="str">
        <f>I13</f>
        <v>Scenario B</v>
      </c>
      <c r="J14" s="29"/>
      <c r="K14" s="29"/>
      <c r="L14" s="29"/>
      <c r="M14" s="29"/>
      <c r="N14" s="29"/>
      <c r="O14" s="36">
        <f>'Scenario B'!O148</f>
        <v>302343.69170245808</v>
      </c>
      <c r="P14" s="36">
        <f>'Scenario B'!P148</f>
        <v>302343.69170245808</v>
      </c>
      <c r="Q14" s="36">
        <f>'Scenario B'!Q148</f>
        <v>302343.69170245808</v>
      </c>
      <c r="R14" s="36">
        <f>'Scenario B'!R148</f>
        <v>302343.69170245808</v>
      </c>
      <c r="S14" s="36">
        <f>'Scenario B'!S148</f>
        <v>302343.69170245808</v>
      </c>
      <c r="T14" s="36">
        <f>'Scenario B'!T148</f>
        <v>302343.69170245808</v>
      </c>
      <c r="U14" s="36">
        <f>'Scenario B'!U148</f>
        <v>302343.69170245808</v>
      </c>
      <c r="V14" s="36">
        <f>'Scenario B'!V148</f>
        <v>302343.69170245808</v>
      </c>
      <c r="W14" s="36">
        <f>'Scenario B'!W148</f>
        <v>302343.69170245808</v>
      </c>
      <c r="X14" s="36">
        <f>'Scenario B'!X148</f>
        <v>302343.69170245808</v>
      </c>
      <c r="Y14" s="36">
        <f>'Scenario B'!Y148</f>
        <v>302343.69170245808</v>
      </c>
      <c r="Z14" s="36">
        <f>'Scenario B'!Z148</f>
        <v>302343.69170245808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</row>
    <row r="15" spans="1:57" x14ac:dyDescent="0.2">
      <c r="A15" s="8"/>
      <c r="B15" s="8"/>
      <c r="C15" s="9"/>
      <c r="D15" s="10" t="str">
        <f t="shared" si="1"/>
        <v>Risk cost</v>
      </c>
      <c r="E15" s="10"/>
      <c r="F15" s="10"/>
      <c r="G15" s="10"/>
      <c r="H15" s="10"/>
      <c r="I15" s="10" t="str">
        <f>"Scenario "&amp;'Scenario C'!$I$8</f>
        <v>Scenario C</v>
      </c>
      <c r="J15" s="10"/>
      <c r="K15" s="10"/>
      <c r="L15" s="10"/>
      <c r="M15" s="10"/>
      <c r="N15" s="10"/>
      <c r="O15" s="36">
        <f>'Scenario C'!O147</f>
        <v>404046.76766449725</v>
      </c>
      <c r="P15" s="36">
        <f>'Scenario C'!P147</f>
        <v>430775.13059301872</v>
      </c>
      <c r="Q15" s="36">
        <f>'Scenario C'!Q147</f>
        <v>456955.46032727021</v>
      </c>
      <c r="R15" s="36">
        <f>'Scenario C'!R147</f>
        <v>492575.39695442806</v>
      </c>
      <c r="S15" s="36">
        <f>'Scenario C'!S147</f>
        <v>528486.9754246556</v>
      </c>
      <c r="T15" s="36">
        <f>'Scenario C'!T147</f>
        <v>578937.16673038725</v>
      </c>
      <c r="U15" s="36">
        <f>'Scenario C'!U147</f>
        <v>633878.16160197952</v>
      </c>
      <c r="V15" s="36">
        <f>'Scenario C'!V147</f>
        <v>678210.02975277184</v>
      </c>
      <c r="W15" s="36">
        <f>'Scenario C'!W147</f>
        <v>726248.21564934566</v>
      </c>
      <c r="X15" s="36">
        <f>'Scenario C'!X147</f>
        <v>778316.35744958313</v>
      </c>
      <c r="Y15" s="36">
        <f>'Scenario C'!Y147</f>
        <v>834767.10354038246</v>
      </c>
      <c r="Z15" s="36">
        <f>'Scenario C'!Z147</f>
        <v>895603.80508092151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1:57" x14ac:dyDescent="0.2">
      <c r="A16" s="8"/>
      <c r="B16" s="8"/>
      <c r="C16" s="9"/>
      <c r="D16" s="29" t="str">
        <f t="shared" si="1"/>
        <v>Annualised cost</v>
      </c>
      <c r="E16" s="29"/>
      <c r="F16" s="29"/>
      <c r="G16" s="29"/>
      <c r="H16" s="29"/>
      <c r="I16" s="29" t="str">
        <f>I15</f>
        <v>Scenario C</v>
      </c>
      <c r="J16" s="29"/>
      <c r="K16" s="29"/>
      <c r="L16" s="29"/>
      <c r="M16" s="29"/>
      <c r="N16" s="29"/>
      <c r="O16" s="36">
        <f>'Scenario C'!O148</f>
        <v>369531.17874744878</v>
      </c>
      <c r="P16" s="36">
        <f>'Scenario C'!P148</f>
        <v>369531.17874744878</v>
      </c>
      <c r="Q16" s="36">
        <f>'Scenario C'!Q148</f>
        <v>369531.17874744878</v>
      </c>
      <c r="R16" s="36">
        <f>'Scenario C'!R148</f>
        <v>369531.17874744878</v>
      </c>
      <c r="S16" s="36">
        <f>'Scenario C'!S148</f>
        <v>369531.17874744878</v>
      </c>
      <c r="T16" s="36">
        <f>'Scenario C'!T148</f>
        <v>369531.17874744878</v>
      </c>
      <c r="U16" s="36">
        <f>'Scenario C'!U148</f>
        <v>369531.17874744878</v>
      </c>
      <c r="V16" s="36">
        <f>'Scenario C'!V148</f>
        <v>369531.17874744878</v>
      </c>
      <c r="W16" s="36">
        <f>'Scenario C'!W148</f>
        <v>369531.17874744878</v>
      </c>
      <c r="X16" s="36">
        <f>'Scenario C'!X148</f>
        <v>369531.17874744878</v>
      </c>
      <c r="Y16" s="36">
        <f>'Scenario C'!Y148</f>
        <v>369531.17874744878</v>
      </c>
      <c r="Z16" s="36">
        <f>'Scenario C'!Z148</f>
        <v>369531.17874744878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7" x14ac:dyDescent="0.2">
      <c r="A17" s="8"/>
      <c r="B17" s="8"/>
      <c r="C17" s="9"/>
      <c r="D17" s="10" t="str">
        <f t="shared" si="1"/>
        <v>Risk cost</v>
      </c>
      <c r="E17" s="10"/>
      <c r="F17" s="10"/>
      <c r="G17" s="10"/>
      <c r="H17" s="10"/>
      <c r="I17" s="10" t="str">
        <f>"Scenario "&amp;'Scenario D'!$I$8</f>
        <v>Scenario D</v>
      </c>
      <c r="J17" s="10"/>
      <c r="K17" s="10"/>
      <c r="L17" s="10"/>
      <c r="M17" s="10"/>
      <c r="N17" s="10"/>
      <c r="O17" s="36">
        <f>'Scenario D'!O147</f>
        <v>364812.54695133213</v>
      </c>
      <c r="P17" s="36">
        <f>'Scenario D'!P147</f>
        <v>389372.76846330124</v>
      </c>
      <c r="Q17" s="36">
        <f>'Scenario D'!Q147</f>
        <v>413207.74626103521</v>
      </c>
      <c r="R17" s="36">
        <f>'Scenario D'!R147</f>
        <v>446289.86266092776</v>
      </c>
      <c r="S17" s="36">
        <f>'Scenario D'!S147</f>
        <v>479454.53950211289</v>
      </c>
      <c r="T17" s="36">
        <f>'Scenario D'!T147</f>
        <v>526930.65654670249</v>
      </c>
      <c r="U17" s="36">
        <f>'Scenario D'!U147</f>
        <v>578650.70113129774</v>
      </c>
      <c r="V17" s="36">
        <f>'Scenario D'!V147</f>
        <v>619493.28106049343</v>
      </c>
      <c r="W17" s="36">
        <f>'Scenario D'!W147</f>
        <v>663750.46057886444</v>
      </c>
      <c r="X17" s="36">
        <f>'Scenario D'!X147</f>
        <v>711720.40481869201</v>
      </c>
      <c r="Y17" s="36">
        <f>'Scenario D'!Y147</f>
        <v>763728.00579399616</v>
      </c>
      <c r="Z17" s="36">
        <f>'Scenario D'!Z147</f>
        <v>819776.35089974315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1:57" x14ac:dyDescent="0.2">
      <c r="A18" s="8"/>
      <c r="B18" s="8"/>
      <c r="C18" s="9"/>
      <c r="D18" s="29" t="str">
        <f t="shared" si="1"/>
        <v>Annualised cost</v>
      </c>
      <c r="E18" s="29"/>
      <c r="F18" s="29"/>
      <c r="G18" s="29"/>
      <c r="H18" s="29"/>
      <c r="I18" s="29" t="str">
        <f>I17</f>
        <v>Scenario D</v>
      </c>
      <c r="J18" s="29"/>
      <c r="K18" s="29"/>
      <c r="L18" s="29"/>
      <c r="M18" s="29"/>
      <c r="N18" s="29"/>
      <c r="O18" s="36">
        <f>'Scenario D'!O148</f>
        <v>302343.69170245808</v>
      </c>
      <c r="P18" s="36">
        <f>'Scenario D'!P148</f>
        <v>302343.69170245808</v>
      </c>
      <c r="Q18" s="36">
        <f>'Scenario D'!Q148</f>
        <v>302343.69170245808</v>
      </c>
      <c r="R18" s="36">
        <f>'Scenario D'!R148</f>
        <v>302343.69170245808</v>
      </c>
      <c r="S18" s="36">
        <f>'Scenario D'!S148</f>
        <v>302343.69170245808</v>
      </c>
      <c r="T18" s="36">
        <f>'Scenario D'!T148</f>
        <v>302343.69170245808</v>
      </c>
      <c r="U18" s="36">
        <f>'Scenario D'!U148</f>
        <v>302343.69170245808</v>
      </c>
      <c r="V18" s="36">
        <f>'Scenario D'!V148</f>
        <v>302343.69170245808</v>
      </c>
      <c r="W18" s="36">
        <f>'Scenario D'!W148</f>
        <v>302343.69170245808</v>
      </c>
      <c r="X18" s="36">
        <f>'Scenario D'!X148</f>
        <v>302343.69170245808</v>
      </c>
      <c r="Y18" s="36">
        <f>'Scenario D'!Y148</f>
        <v>302343.69170245808</v>
      </c>
      <c r="Z18" s="36">
        <f>'Scenario D'!Z148</f>
        <v>302343.69170245808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1:57" x14ac:dyDescent="0.2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1:57" x14ac:dyDescent="0.2">
      <c r="A20" s="8"/>
      <c r="B20" s="8" t="s">
        <v>188</v>
      </c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1:57" x14ac:dyDescent="0.2">
      <c r="A21" s="8"/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1:57" x14ac:dyDescent="0.2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1:57" x14ac:dyDescent="0.2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1:57" x14ac:dyDescent="0.2">
      <c r="A24" s="8"/>
      <c r="B24" s="8"/>
      <c r="C24" s="9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</row>
    <row r="25" spans="1:57" x14ac:dyDescent="0.2">
      <c r="A25" s="8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</row>
    <row r="26" spans="1:57" x14ac:dyDescent="0.2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</row>
    <row r="27" spans="1:57" x14ac:dyDescent="0.2">
      <c r="A27" s="8"/>
      <c r="B27" s="8"/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</row>
    <row r="28" spans="1:57" x14ac:dyDescent="0.2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</row>
    <row r="29" spans="1:57" x14ac:dyDescent="0.2">
      <c r="A29" s="8"/>
      <c r="B29" s="8"/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</row>
    <row r="30" spans="1:57" x14ac:dyDescent="0.2">
      <c r="A30" s="8"/>
      <c r="B30" s="8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 x14ac:dyDescent="0.2">
      <c r="A31" s="8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 x14ac:dyDescent="0.2">
      <c r="A32" s="8"/>
      <c r="B32" s="8"/>
      <c r="C32" s="9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 x14ac:dyDescent="0.2">
      <c r="A33" s="8"/>
      <c r="B33" s="8"/>
      <c r="C33" s="9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 x14ac:dyDescent="0.2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 x14ac:dyDescent="0.2">
      <c r="A35" s="8"/>
      <c r="B35" s="8"/>
      <c r="C35" s="9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 x14ac:dyDescent="0.2">
      <c r="A36" s="8"/>
      <c r="B36" s="8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 x14ac:dyDescent="0.2">
      <c r="A37" s="8"/>
      <c r="B37" s="8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 x14ac:dyDescent="0.2">
      <c r="A38" s="8"/>
      <c r="B38" s="8"/>
      <c r="C38" s="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 x14ac:dyDescent="0.2">
      <c r="A39" s="8"/>
      <c r="B39" s="8"/>
      <c r="C39" s="9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 x14ac:dyDescent="0.2">
      <c r="A40" s="8"/>
      <c r="B40" s="8"/>
      <c r="C40" s="9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 x14ac:dyDescent="0.2">
      <c r="A41" s="8"/>
      <c r="B41" s="8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 x14ac:dyDescent="0.2">
      <c r="A42" s="8"/>
      <c r="B42" s="8"/>
      <c r="C42" s="9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 x14ac:dyDescent="0.2">
      <c r="A43" s="8"/>
      <c r="B43" s="8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x14ac:dyDescent="0.2">
      <c r="A44" s="8"/>
      <c r="B44" s="8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</row>
    <row r="45" spans="1:57" x14ac:dyDescent="0.2">
      <c r="A45" s="8"/>
      <c r="B45" s="8"/>
      <c r="C45" s="9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</row>
    <row r="46" spans="1:57" x14ac:dyDescent="0.2">
      <c r="A46" s="8"/>
      <c r="B46" s="8"/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57" x14ac:dyDescent="0.2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</row>
    <row r="48" spans="1:57" x14ac:dyDescent="0.2">
      <c r="A48" s="8"/>
      <c r="B48" s="8"/>
      <c r="C48" s="9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</row>
    <row r="49" spans="1:57" x14ac:dyDescent="0.2">
      <c r="A49" s="8"/>
      <c r="B49" s="8"/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</row>
    <row r="50" spans="1:57" x14ac:dyDescent="0.2">
      <c r="A50" s="11" t="s">
        <v>147</v>
      </c>
      <c r="B50" s="11"/>
      <c r="C50" s="12"/>
      <c r="D50" s="13"/>
      <c r="E50" s="13"/>
      <c r="F50" s="13"/>
      <c r="G50" s="13"/>
      <c r="H50" s="13"/>
      <c r="I50" s="1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</row>
    <row r="51" spans="1:57" x14ac:dyDescent="0.2"/>
  </sheetData>
  <pageMargins left="0.7" right="0.7" top="0.75" bottom="0.75" header="0.3" footer="0.3"/>
  <pageSetup paperSize="9" orientation="portrait" r:id="rId1"/>
  <ignoredErrors>
    <ignoredError sqref="I11:I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Inputs</vt:lpstr>
      <vt:lpstr>Base Case</vt:lpstr>
      <vt:lpstr>Scenario A</vt:lpstr>
      <vt:lpstr>Scenario B</vt:lpstr>
      <vt:lpstr>Scenario C</vt:lpstr>
      <vt:lpstr>Scenario D</vt:lpstr>
      <vt:lpstr>Summary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2019-10-23T03:43:54Z</dcterms:created>
  <dcterms:modified xsi:type="dcterms:W3CDTF">2020-01-28T06:17:21Z</dcterms:modified>
</cp:coreProperties>
</file>