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 activeTab="6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40" i="2" l="1"/>
  <c r="R30" i="2"/>
  <c r="C21" i="1"/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T46" i="11" l="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U187" i="1"/>
  <c r="U195" i="1" s="1"/>
  <c r="T187" i="1"/>
  <c r="T194" i="1" s="1"/>
  <c r="S187" i="1"/>
  <c r="S193" i="1" s="1"/>
  <c r="R187" i="1"/>
  <c r="R196" i="1" s="1"/>
  <c r="Q187" i="1"/>
  <c r="Q195" i="1" s="1"/>
  <c r="P187" i="1"/>
  <c r="P194" i="1" s="1"/>
  <c r="O187" i="1"/>
  <c r="O195" i="1" s="1"/>
  <c r="R194" i="1" l="1"/>
  <c r="U192" i="1"/>
  <c r="P192" i="1"/>
  <c r="Q193" i="1"/>
  <c r="Q192" i="1"/>
  <c r="R193" i="1"/>
  <c r="T192" i="1"/>
  <c r="U193" i="1"/>
  <c r="O192" i="1"/>
  <c r="O196" i="1"/>
  <c r="S192" i="1"/>
  <c r="P193" i="1"/>
  <c r="T193" i="1"/>
  <c r="Q194" i="1"/>
  <c r="U194" i="1"/>
  <c r="R195" i="1"/>
  <c r="S196" i="1"/>
  <c r="S195" i="1"/>
  <c r="P196" i="1"/>
  <c r="T196" i="1"/>
  <c r="S194" i="1"/>
  <c r="P195" i="1"/>
  <c r="T195" i="1"/>
  <c r="Q196" i="1"/>
  <c r="U196" i="1"/>
  <c r="O193" i="1"/>
  <c r="O194" i="1"/>
  <c r="R192" i="1"/>
  <c r="L82" i="1" l="1"/>
  <c r="L81" i="1"/>
  <c r="M80" i="1"/>
  <c r="E88" i="8" l="1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P51" i="11"/>
  <c r="J122" i="11"/>
  <c r="J124" i="11"/>
  <c r="J125" i="11"/>
  <c r="J123" i="11"/>
  <c r="P51" i="10"/>
  <c r="D104" i="10"/>
  <c r="D103" i="10"/>
  <c r="J125" i="10"/>
  <c r="J123" i="10"/>
  <c r="J122" i="10"/>
  <c r="J124" i="10"/>
  <c r="D104" i="9"/>
  <c r="D103" i="9"/>
  <c r="P51" i="9"/>
  <c r="J122" i="9"/>
  <c r="J124" i="9"/>
  <c r="J125" i="9"/>
  <c r="J123" i="9"/>
  <c r="P51" i="8"/>
  <c r="D104" i="8"/>
  <c r="D103" i="8"/>
  <c r="J122" i="8"/>
  <c r="J124" i="8"/>
  <c r="J125" i="8"/>
  <c r="J123" i="8"/>
  <c r="D123" i="2"/>
  <c r="V22" i="11" l="1"/>
  <c r="U22" i="11"/>
  <c r="U22" i="10"/>
  <c r="V22" i="10"/>
  <c r="U22" i="9"/>
  <c r="V22" i="9"/>
  <c r="V22" i="8"/>
  <c r="U22" i="8"/>
  <c r="I18" i="7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J119" i="2" s="1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D70" i="2" s="1"/>
  <c r="V187" i="1"/>
  <c r="D185" i="1"/>
  <c r="D175" i="1"/>
  <c r="D174" i="1"/>
  <c r="D173" i="1"/>
  <c r="J117" i="1"/>
  <c r="K99" i="1"/>
  <c r="K125" i="1" s="1"/>
  <c r="K148" i="1" s="1"/>
  <c r="K172" i="1" s="1"/>
  <c r="J99" i="1"/>
  <c r="J125" i="1" s="1"/>
  <c r="J148" i="1" s="1"/>
  <c r="J172" i="1" s="1"/>
  <c r="J75" i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D14" i="2" s="1"/>
  <c r="N43" i="1"/>
  <c r="N52" i="1" s="1"/>
  <c r="M43" i="1"/>
  <c r="M52" i="1" s="1"/>
  <c r="L43" i="1"/>
  <c r="L52" i="1" s="1"/>
  <c r="D11" i="2" s="1"/>
  <c r="K43" i="1"/>
  <c r="K52" i="1" s="1"/>
  <c r="D10" i="2" s="1"/>
  <c r="J43" i="1"/>
  <c r="J52" i="1" s="1"/>
  <c r="C26" i="1"/>
  <c r="J21" i="1"/>
  <c r="L168" i="1"/>
  <c r="P16" i="1"/>
  <c r="O2" i="1"/>
  <c r="O2" i="7" s="1"/>
  <c r="O8" i="7" s="1"/>
  <c r="A2" i="1"/>
  <c r="A1" i="1"/>
  <c r="I10" i="2" l="1"/>
  <c r="I14" i="2"/>
  <c r="D13" i="9"/>
  <c r="D13" i="8"/>
  <c r="D13" i="10"/>
  <c r="D13" i="11"/>
  <c r="P2" i="1"/>
  <c r="O2" i="9"/>
  <c r="O146" i="9" s="1"/>
  <c r="O2" i="8"/>
  <c r="O146" i="8" s="1"/>
  <c r="O2" i="10"/>
  <c r="O146" i="10" s="1"/>
  <c r="O2" i="11"/>
  <c r="O146" i="11" s="1"/>
  <c r="D12" i="11"/>
  <c r="D12" i="9"/>
  <c r="D12" i="8"/>
  <c r="D12" i="10"/>
  <c r="D70" i="9"/>
  <c r="D70" i="8"/>
  <c r="D70" i="11"/>
  <c r="D70" i="10"/>
  <c r="D9" i="9"/>
  <c r="D9" i="8"/>
  <c r="D9" i="10"/>
  <c r="D9" i="11"/>
  <c r="I11" i="2"/>
  <c r="D14" i="10"/>
  <c r="D14" i="11"/>
  <c r="D14" i="9"/>
  <c r="D14" i="8"/>
  <c r="D69" i="11"/>
  <c r="D69" i="10"/>
  <c r="D69" i="9"/>
  <c r="D69" i="8"/>
  <c r="D12" i="2"/>
  <c r="I12" i="2" s="1"/>
  <c r="T69" i="2" s="1"/>
  <c r="O2" i="2"/>
  <c r="O146" i="2" s="1"/>
  <c r="D10" i="10"/>
  <c r="D10" i="9"/>
  <c r="D10" i="11"/>
  <c r="D10" i="8"/>
  <c r="D11" i="11"/>
  <c r="D11" i="8"/>
  <c r="D11" i="9"/>
  <c r="D11" i="10"/>
  <c r="V196" i="1"/>
  <c r="V192" i="1"/>
  <c r="V193" i="1"/>
  <c r="V194" i="1"/>
  <c r="V195" i="1"/>
  <c r="D9" i="2"/>
  <c r="I9" i="2" s="1"/>
  <c r="R116" i="2" s="1"/>
  <c r="D13" i="2"/>
  <c r="I13" i="2" s="1"/>
  <c r="D69" i="2"/>
  <c r="M75" i="1"/>
  <c r="K75" i="1"/>
  <c r="A1" i="2"/>
  <c r="A1" i="9"/>
  <c r="A1" i="10"/>
  <c r="A1" i="11"/>
  <c r="A1" i="8"/>
  <c r="J124" i="2"/>
  <c r="J122" i="2"/>
  <c r="J125" i="2"/>
  <c r="J123" i="2"/>
  <c r="A1" i="7"/>
  <c r="M74" i="1"/>
  <c r="M73" i="1"/>
  <c r="V114" i="2"/>
  <c r="P69" i="2"/>
  <c r="S70" i="2"/>
  <c r="R69" i="2"/>
  <c r="T70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Y115" i="2" l="1"/>
  <c r="O69" i="2"/>
  <c r="Q69" i="2"/>
  <c r="W114" i="2"/>
  <c r="T114" i="2"/>
  <c r="U114" i="2"/>
  <c r="X116" i="2"/>
  <c r="T115" i="2"/>
  <c r="Q116" i="2"/>
  <c r="W115" i="2"/>
  <c r="I10" i="8"/>
  <c r="I14" i="11"/>
  <c r="I9" i="10"/>
  <c r="W115" i="10" s="1"/>
  <c r="I13" i="11"/>
  <c r="P116" i="2"/>
  <c r="Z114" i="2"/>
  <c r="Z115" i="2"/>
  <c r="S115" i="2"/>
  <c r="W116" i="2"/>
  <c r="Q115" i="2"/>
  <c r="S114" i="2"/>
  <c r="P114" i="2"/>
  <c r="Z116" i="2"/>
  <c r="V70" i="2"/>
  <c r="W69" i="2"/>
  <c r="P70" i="2"/>
  <c r="R70" i="2"/>
  <c r="P115" i="2"/>
  <c r="T116" i="2"/>
  <c r="S69" i="2"/>
  <c r="V69" i="2"/>
  <c r="U69" i="2"/>
  <c r="O116" i="2"/>
  <c r="X115" i="2"/>
  <c r="Y114" i="2"/>
  <c r="R114" i="2"/>
  <c r="O114" i="2"/>
  <c r="V115" i="2"/>
  <c r="Y116" i="2"/>
  <c r="O115" i="2"/>
  <c r="V116" i="2"/>
  <c r="S71" i="2"/>
  <c r="O71" i="2"/>
  <c r="O103" i="2" s="1"/>
  <c r="V71" i="2"/>
  <c r="V105" i="2" s="1"/>
  <c r="R71" i="2"/>
  <c r="R103" i="2" s="1"/>
  <c r="Q71" i="2"/>
  <c r="Q105" i="2" s="1"/>
  <c r="U71" i="2"/>
  <c r="U105" i="2" s="1"/>
  <c r="T71" i="2"/>
  <c r="T105" i="2" s="1"/>
  <c r="P71" i="2"/>
  <c r="P105" i="2" s="1"/>
  <c r="O70" i="2"/>
  <c r="U115" i="2"/>
  <c r="Q114" i="2"/>
  <c r="S116" i="2"/>
  <c r="R115" i="2"/>
  <c r="U116" i="2"/>
  <c r="X114" i="2"/>
  <c r="I11" i="10"/>
  <c r="W114" i="10"/>
  <c r="T115" i="10"/>
  <c r="O114" i="10"/>
  <c r="S115" i="10"/>
  <c r="P116" i="10"/>
  <c r="O115" i="10"/>
  <c r="R116" i="10"/>
  <c r="X116" i="10"/>
  <c r="U114" i="10"/>
  <c r="I12" i="8"/>
  <c r="W69" i="8" s="1"/>
  <c r="I11" i="9"/>
  <c r="I10" i="11"/>
  <c r="I14" i="10"/>
  <c r="I9" i="8"/>
  <c r="I12" i="9"/>
  <c r="W70" i="9" s="1"/>
  <c r="I13" i="10"/>
  <c r="I11" i="8"/>
  <c r="I10" i="9"/>
  <c r="I14" i="8"/>
  <c r="I9" i="9"/>
  <c r="I12" i="11"/>
  <c r="I13" i="8"/>
  <c r="I11" i="11"/>
  <c r="I10" i="10"/>
  <c r="I14" i="9"/>
  <c r="I9" i="11"/>
  <c r="I12" i="10"/>
  <c r="Q2" i="1"/>
  <c r="P2" i="9"/>
  <c r="P146" i="9" s="1"/>
  <c r="P2" i="8"/>
  <c r="P146" i="8" s="1"/>
  <c r="P2" i="10"/>
  <c r="P146" i="10" s="1"/>
  <c r="P2" i="11"/>
  <c r="P146" i="11" s="1"/>
  <c r="P2" i="7"/>
  <c r="P8" i="7" s="1"/>
  <c r="P2" i="2"/>
  <c r="P146" i="2" s="1"/>
  <c r="I13" i="9"/>
  <c r="W187" i="1"/>
  <c r="W71" i="2" s="1"/>
  <c r="R105" i="2"/>
  <c r="S105" i="2"/>
  <c r="S103" i="2"/>
  <c r="Q103" i="2"/>
  <c r="O105" i="2"/>
  <c r="J177" i="1"/>
  <c r="J178" i="1" s="1"/>
  <c r="X187" i="1"/>
  <c r="X71" i="2" s="1"/>
  <c r="W70" i="2"/>
  <c r="X69" i="2"/>
  <c r="P51" i="2"/>
  <c r="L75" i="1"/>
  <c r="K177" i="1"/>
  <c r="K178" i="1" s="1"/>
  <c r="R16" i="1"/>
  <c r="U103" i="2" l="1"/>
  <c r="R115" i="10"/>
  <c r="S114" i="10"/>
  <c r="W116" i="10"/>
  <c r="R114" i="10"/>
  <c r="U116" i="10"/>
  <c r="Y115" i="10"/>
  <c r="S116" i="10"/>
  <c r="Z115" i="10"/>
  <c r="O116" i="10"/>
  <c r="V116" i="10"/>
  <c r="Q115" i="10"/>
  <c r="T114" i="10"/>
  <c r="X115" i="10"/>
  <c r="Y114" i="10"/>
  <c r="P115" i="10"/>
  <c r="Z116" i="10"/>
  <c r="Y116" i="10"/>
  <c r="Q116" i="10"/>
  <c r="T103" i="2"/>
  <c r="U115" i="10"/>
  <c r="X114" i="10"/>
  <c r="V115" i="10"/>
  <c r="Z114" i="10"/>
  <c r="P114" i="10"/>
  <c r="V114" i="10"/>
  <c r="Q114" i="10"/>
  <c r="T116" i="10"/>
  <c r="X103" i="2"/>
  <c r="X105" i="2"/>
  <c r="W103" i="2"/>
  <c r="W105" i="2"/>
  <c r="P28" i="11"/>
  <c r="P50" i="11" s="1"/>
  <c r="P28" i="2"/>
  <c r="P28" i="10"/>
  <c r="P50" i="10" s="1"/>
  <c r="P28" i="8"/>
  <c r="P50" i="8" s="1"/>
  <c r="P28" i="9"/>
  <c r="P50" i="9" s="1"/>
  <c r="P38" i="11"/>
  <c r="P49" i="11" s="1"/>
  <c r="P38" i="9"/>
  <c r="P49" i="9" s="1"/>
  <c r="P38" i="2"/>
  <c r="P49" i="2" s="1"/>
  <c r="P38" i="8"/>
  <c r="P49" i="8" s="1"/>
  <c r="P38" i="10"/>
  <c r="P49" i="10" s="1"/>
  <c r="W70" i="11"/>
  <c r="R71" i="11"/>
  <c r="Q71" i="11"/>
  <c r="X71" i="11"/>
  <c r="T71" i="11"/>
  <c r="P71" i="11"/>
  <c r="W71" i="11"/>
  <c r="S71" i="11"/>
  <c r="O71" i="11"/>
  <c r="V71" i="11"/>
  <c r="U71" i="11"/>
  <c r="V71" i="10"/>
  <c r="V103" i="10" s="1"/>
  <c r="V119" i="10" s="1"/>
  <c r="R71" i="10"/>
  <c r="O71" i="10"/>
  <c r="U71" i="10"/>
  <c r="U105" i="10" s="1"/>
  <c r="U120" i="10" s="1"/>
  <c r="Q71" i="10"/>
  <c r="X71" i="10"/>
  <c r="T71" i="10"/>
  <c r="T105" i="10" s="1"/>
  <c r="T120" i="10" s="1"/>
  <c r="P71" i="10"/>
  <c r="P103" i="10" s="1"/>
  <c r="P119" i="10" s="1"/>
  <c r="W71" i="10"/>
  <c r="S71" i="10"/>
  <c r="S103" i="10" s="1"/>
  <c r="S119" i="10" s="1"/>
  <c r="X69" i="10"/>
  <c r="W70" i="10"/>
  <c r="W69" i="10"/>
  <c r="W69" i="9"/>
  <c r="V71" i="9"/>
  <c r="V103" i="9" s="1"/>
  <c r="R71" i="9"/>
  <c r="R105" i="9" s="1"/>
  <c r="Q71" i="9"/>
  <c r="X71" i="9"/>
  <c r="X103" i="9" s="1"/>
  <c r="T71" i="9"/>
  <c r="P71" i="9"/>
  <c r="W71" i="9"/>
  <c r="S71" i="9"/>
  <c r="S105" i="9" s="1"/>
  <c r="O71" i="9"/>
  <c r="O105" i="9" s="1"/>
  <c r="U71" i="9"/>
  <c r="X69" i="9"/>
  <c r="X69" i="8"/>
  <c r="V71" i="8"/>
  <c r="R71" i="8"/>
  <c r="U71" i="8"/>
  <c r="Q71" i="8"/>
  <c r="X71" i="8"/>
  <c r="T71" i="8"/>
  <c r="P71" i="8"/>
  <c r="W71" i="8"/>
  <c r="S71" i="8"/>
  <c r="O71" i="8"/>
  <c r="X77" i="2"/>
  <c r="X78" i="2"/>
  <c r="X79" i="2"/>
  <c r="X80" i="2"/>
  <c r="X76" i="2"/>
  <c r="S80" i="2"/>
  <c r="S97" i="2" s="1"/>
  <c r="S98" i="2" s="1"/>
  <c r="S99" i="2" s="1"/>
  <c r="S76" i="2"/>
  <c r="S85" i="2" s="1"/>
  <c r="S77" i="2"/>
  <c r="S78" i="2"/>
  <c r="S91" i="2" s="1"/>
  <c r="S92" i="2" s="1"/>
  <c r="S93" i="2" s="1"/>
  <c r="S79" i="2"/>
  <c r="S94" i="2" s="1"/>
  <c r="U78" i="2"/>
  <c r="U79" i="2"/>
  <c r="U80" i="2"/>
  <c r="U97" i="2" s="1"/>
  <c r="U98" i="2" s="1"/>
  <c r="U99" i="2" s="1"/>
  <c r="U76" i="2"/>
  <c r="U85" i="2" s="1"/>
  <c r="U77" i="2"/>
  <c r="U88" i="2" s="1"/>
  <c r="U89" i="2" s="1"/>
  <c r="U90" i="2" s="1"/>
  <c r="R79" i="2"/>
  <c r="R80" i="2"/>
  <c r="R76" i="2"/>
  <c r="R85" i="2" s="1"/>
  <c r="R77" i="2"/>
  <c r="R88" i="2" s="1"/>
  <c r="R78" i="2"/>
  <c r="W80" i="2"/>
  <c r="W97" i="2" s="1"/>
  <c r="W76" i="2"/>
  <c r="W85" i="2" s="1"/>
  <c r="W77" i="2"/>
  <c r="W88" i="2" s="1"/>
  <c r="W89" i="2" s="1"/>
  <c r="W90" i="2" s="1"/>
  <c r="W78" i="2"/>
  <c r="W79" i="2"/>
  <c r="P77" i="2"/>
  <c r="P88" i="2" s="1"/>
  <c r="P78" i="2"/>
  <c r="P91" i="2" s="1"/>
  <c r="P92" i="2" s="1"/>
  <c r="P93" i="2" s="1"/>
  <c r="P79" i="2"/>
  <c r="P80" i="2"/>
  <c r="P97" i="2" s="1"/>
  <c r="P76" i="2"/>
  <c r="P85" i="2" s="1"/>
  <c r="P86" i="2" s="1"/>
  <c r="P87" i="2" s="1"/>
  <c r="V79" i="2"/>
  <c r="V94" i="2" s="1"/>
  <c r="V80" i="2"/>
  <c r="V76" i="2"/>
  <c r="V85" i="2" s="1"/>
  <c r="V77" i="2"/>
  <c r="V88" i="2" s="1"/>
  <c r="V78" i="2"/>
  <c r="P103" i="2"/>
  <c r="V103" i="2"/>
  <c r="T77" i="2"/>
  <c r="T88" i="2" s="1"/>
  <c r="T78" i="2"/>
  <c r="T79" i="2"/>
  <c r="T80" i="2"/>
  <c r="T97" i="2" s="1"/>
  <c r="T76" i="2"/>
  <c r="T85" i="2" s="1"/>
  <c r="T86" i="2" s="1"/>
  <c r="T87" i="2" s="1"/>
  <c r="Q78" i="2"/>
  <c r="Q79" i="2"/>
  <c r="Q80" i="2"/>
  <c r="Q97" i="2" s="1"/>
  <c r="Q76" i="2"/>
  <c r="Q85" i="2" s="1"/>
  <c r="Q77" i="2"/>
  <c r="O80" i="2"/>
  <c r="O76" i="2"/>
  <c r="O85" i="2" s="1"/>
  <c r="O86" i="2" s="1"/>
  <c r="O87" i="2" s="1"/>
  <c r="O79" i="2"/>
  <c r="O94" i="2" s="1"/>
  <c r="O78" i="2"/>
  <c r="O77" i="2"/>
  <c r="X194" i="1"/>
  <c r="X195" i="1"/>
  <c r="X196" i="1"/>
  <c r="X193" i="1"/>
  <c r="X192" i="1"/>
  <c r="P70" i="10"/>
  <c r="O69" i="10"/>
  <c r="U69" i="10"/>
  <c r="T69" i="10"/>
  <c r="Q69" i="10"/>
  <c r="U70" i="10"/>
  <c r="R70" i="10"/>
  <c r="S70" i="10"/>
  <c r="O70" i="10"/>
  <c r="T70" i="10"/>
  <c r="R69" i="10"/>
  <c r="S69" i="10"/>
  <c r="P69" i="10"/>
  <c r="Q70" i="10"/>
  <c r="V69" i="10"/>
  <c r="V70" i="10"/>
  <c r="W103" i="9"/>
  <c r="P103" i="9"/>
  <c r="P105" i="9"/>
  <c r="X69" i="11"/>
  <c r="W69" i="11"/>
  <c r="R116" i="11"/>
  <c r="X114" i="11"/>
  <c r="X116" i="11"/>
  <c r="O116" i="11"/>
  <c r="Y114" i="11"/>
  <c r="Z114" i="11"/>
  <c r="R115" i="11"/>
  <c r="Y115" i="11"/>
  <c r="V115" i="11"/>
  <c r="O114" i="11"/>
  <c r="W115" i="11"/>
  <c r="T114" i="11"/>
  <c r="T116" i="11"/>
  <c r="X115" i="11"/>
  <c r="U114" i="11"/>
  <c r="R114" i="11"/>
  <c r="W114" i="11"/>
  <c r="Q115" i="11"/>
  <c r="S114" i="11"/>
  <c r="V116" i="11"/>
  <c r="O115" i="11"/>
  <c r="Y116" i="11"/>
  <c r="S116" i="11"/>
  <c r="P115" i="11"/>
  <c r="U115" i="11"/>
  <c r="Z115" i="11"/>
  <c r="Q116" i="11"/>
  <c r="P116" i="11"/>
  <c r="Z116" i="11"/>
  <c r="S115" i="11"/>
  <c r="P114" i="11"/>
  <c r="W116" i="11"/>
  <c r="T115" i="11"/>
  <c r="Q114" i="11"/>
  <c r="U116" i="11"/>
  <c r="V114" i="11"/>
  <c r="W105" i="10"/>
  <c r="W120" i="10" s="1"/>
  <c r="W105" i="9"/>
  <c r="R105" i="10"/>
  <c r="R120" i="10" s="1"/>
  <c r="U103" i="9"/>
  <c r="U103" i="10"/>
  <c r="U119" i="10" s="1"/>
  <c r="U105" i="9"/>
  <c r="X105" i="9"/>
  <c r="Q70" i="9"/>
  <c r="U69" i="9"/>
  <c r="S69" i="9"/>
  <c r="T70" i="9"/>
  <c r="Q69" i="9"/>
  <c r="P69" i="9"/>
  <c r="O69" i="9"/>
  <c r="R70" i="9"/>
  <c r="S70" i="9"/>
  <c r="T69" i="9"/>
  <c r="P70" i="9"/>
  <c r="O70" i="9"/>
  <c r="R69" i="9"/>
  <c r="U70" i="9"/>
  <c r="V69" i="9"/>
  <c r="V70" i="9"/>
  <c r="O70" i="11"/>
  <c r="R69" i="11"/>
  <c r="S69" i="11"/>
  <c r="T69" i="11"/>
  <c r="S70" i="11"/>
  <c r="P70" i="11"/>
  <c r="Q70" i="11"/>
  <c r="R70" i="11"/>
  <c r="U69" i="11"/>
  <c r="O69" i="11"/>
  <c r="P69" i="11"/>
  <c r="Q69" i="11"/>
  <c r="T70" i="11"/>
  <c r="U70" i="11"/>
  <c r="V69" i="11"/>
  <c r="V70" i="11"/>
  <c r="W115" i="8"/>
  <c r="T114" i="8"/>
  <c r="O116" i="8"/>
  <c r="Y114" i="8"/>
  <c r="U115" i="8"/>
  <c r="Z115" i="8"/>
  <c r="Y116" i="8"/>
  <c r="V114" i="8"/>
  <c r="S114" i="8"/>
  <c r="W116" i="8"/>
  <c r="R114" i="8"/>
  <c r="Y115" i="8"/>
  <c r="Z116" i="8"/>
  <c r="S115" i="8"/>
  <c r="P114" i="8"/>
  <c r="X115" i="8"/>
  <c r="U114" i="8"/>
  <c r="Z114" i="8"/>
  <c r="R115" i="8"/>
  <c r="Q116" i="8"/>
  <c r="X116" i="8"/>
  <c r="O115" i="8"/>
  <c r="Q114" i="8"/>
  <c r="P116" i="8"/>
  <c r="R116" i="8"/>
  <c r="X114" i="8"/>
  <c r="S116" i="8"/>
  <c r="P115" i="8"/>
  <c r="U116" i="8"/>
  <c r="T116" i="8"/>
  <c r="O114" i="8"/>
  <c r="Q115" i="8"/>
  <c r="V115" i="8"/>
  <c r="V116" i="8"/>
  <c r="T115" i="8"/>
  <c r="W114" i="8"/>
  <c r="Q69" i="8"/>
  <c r="Q70" i="8"/>
  <c r="P70" i="8"/>
  <c r="P69" i="8"/>
  <c r="S70" i="8"/>
  <c r="O69" i="8"/>
  <c r="O70" i="8"/>
  <c r="S69" i="8"/>
  <c r="R69" i="8"/>
  <c r="U69" i="8"/>
  <c r="R70" i="8"/>
  <c r="U70" i="8"/>
  <c r="T70" i="8"/>
  <c r="T69" i="8"/>
  <c r="V70" i="8"/>
  <c r="V69" i="8"/>
  <c r="W70" i="8"/>
  <c r="W193" i="1"/>
  <c r="W194" i="1"/>
  <c r="W195" i="1"/>
  <c r="W196" i="1"/>
  <c r="W192" i="1"/>
  <c r="R2" i="1"/>
  <c r="Q2" i="10"/>
  <c r="Q146" i="10" s="1"/>
  <c r="Q2" i="8"/>
  <c r="Q146" i="8" s="1"/>
  <c r="Q2" i="11"/>
  <c r="Q146" i="11" s="1"/>
  <c r="Q2" i="9"/>
  <c r="Q146" i="9" s="1"/>
  <c r="Q2" i="7"/>
  <c r="Q8" i="7" s="1"/>
  <c r="Q2" i="2"/>
  <c r="Q146" i="2" s="1"/>
  <c r="Q103" i="9"/>
  <c r="R103" i="9"/>
  <c r="Q105" i="9"/>
  <c r="Z116" i="9"/>
  <c r="S115" i="9"/>
  <c r="S116" i="9"/>
  <c r="P115" i="9"/>
  <c r="X116" i="9"/>
  <c r="O114" i="9"/>
  <c r="S114" i="9"/>
  <c r="W114" i="9"/>
  <c r="Y115" i="9"/>
  <c r="R116" i="9"/>
  <c r="X115" i="9"/>
  <c r="U114" i="9"/>
  <c r="Z115" i="9"/>
  <c r="V114" i="9"/>
  <c r="V116" i="9"/>
  <c r="O115" i="9"/>
  <c r="O116" i="9"/>
  <c r="Y114" i="9"/>
  <c r="P116" i="9"/>
  <c r="U116" i="9"/>
  <c r="T116" i="9"/>
  <c r="R114" i="9"/>
  <c r="Q115" i="9"/>
  <c r="U115" i="9"/>
  <c r="W115" i="9"/>
  <c r="W116" i="9"/>
  <c r="T115" i="9"/>
  <c r="Q114" i="9"/>
  <c r="T114" i="9"/>
  <c r="Z114" i="9"/>
  <c r="R115" i="9"/>
  <c r="Q116" i="9"/>
  <c r="P114" i="9"/>
  <c r="X114" i="9"/>
  <c r="V115" i="9"/>
  <c r="Y116" i="9"/>
  <c r="U38" i="9"/>
  <c r="V38" i="8"/>
  <c r="U38" i="10"/>
  <c r="U18" i="8"/>
  <c r="V18" i="8"/>
  <c r="U18" i="10"/>
  <c r="V18" i="10"/>
  <c r="V18" i="11"/>
  <c r="U18" i="11"/>
  <c r="U38" i="11"/>
  <c r="V38" i="11"/>
  <c r="V18" i="9"/>
  <c r="U18" i="9"/>
  <c r="V38" i="9"/>
  <c r="S88" i="2"/>
  <c r="S89" i="2" s="1"/>
  <c r="S90" i="2" s="1"/>
  <c r="X70" i="10"/>
  <c r="X70" i="11"/>
  <c r="X70" i="9"/>
  <c r="X70" i="8"/>
  <c r="X70" i="2"/>
  <c r="Y187" i="1"/>
  <c r="Y71" i="2" s="1"/>
  <c r="Y69" i="9"/>
  <c r="Y69" i="8"/>
  <c r="Y69" i="11"/>
  <c r="Y69" i="10"/>
  <c r="V97" i="2"/>
  <c r="W94" i="2"/>
  <c r="W95" i="2" s="1"/>
  <c r="W96" i="2" s="1"/>
  <c r="O97" i="2"/>
  <c r="O98" i="2" s="1"/>
  <c r="O99" i="2" s="1"/>
  <c r="Y69" i="2"/>
  <c r="V18" i="2"/>
  <c r="U18" i="2"/>
  <c r="P94" i="2"/>
  <c r="U94" i="2"/>
  <c r="U95" i="2" s="1"/>
  <c r="U96" i="2" s="1"/>
  <c r="T94" i="2"/>
  <c r="V91" i="2"/>
  <c r="O88" i="2"/>
  <c r="T91" i="2"/>
  <c r="T92" i="2" s="1"/>
  <c r="T93" i="2" s="1"/>
  <c r="W91" i="2"/>
  <c r="R94" i="2"/>
  <c r="U91" i="2"/>
  <c r="Q91" i="2"/>
  <c r="R97" i="2"/>
  <c r="R98" i="2" s="1"/>
  <c r="R99" i="2" s="1"/>
  <c r="Q94" i="2"/>
  <c r="R91" i="2"/>
  <c r="Q88" i="2"/>
  <c r="S16" i="1"/>
  <c r="T103" i="10" l="1"/>
  <c r="V105" i="9"/>
  <c r="R120" i="9"/>
  <c r="V38" i="2"/>
  <c r="T119" i="10"/>
  <c r="U38" i="2"/>
  <c r="S103" i="9"/>
  <c r="S119" i="9" s="1"/>
  <c r="Y105" i="2"/>
  <c r="Y103" i="2"/>
  <c r="Y79" i="2"/>
  <c r="Y71" i="9"/>
  <c r="Y79" i="9" s="1"/>
  <c r="Y71" i="10"/>
  <c r="Y103" i="10" s="1"/>
  <c r="Y119" i="10" s="1"/>
  <c r="Y77" i="2"/>
  <c r="Y78" i="2"/>
  <c r="Y76" i="2"/>
  <c r="Y71" i="11"/>
  <c r="Y80" i="11" s="1"/>
  <c r="Y80" i="2"/>
  <c r="Y71" i="8"/>
  <c r="Y78" i="8" s="1"/>
  <c r="V80" i="11"/>
  <c r="V97" i="11" s="1"/>
  <c r="V98" i="11" s="1"/>
  <c r="V99" i="11" s="1"/>
  <c r="V79" i="11"/>
  <c r="V94" i="11" s="1"/>
  <c r="V95" i="11" s="1"/>
  <c r="V96" i="11" s="1"/>
  <c r="V78" i="11"/>
  <c r="V77" i="11"/>
  <c r="V88" i="11" s="1"/>
  <c r="V89" i="11" s="1"/>
  <c r="V90" i="11" s="1"/>
  <c r="V76" i="11"/>
  <c r="V105" i="11"/>
  <c r="V120" i="11" s="1"/>
  <c r="V103" i="11"/>
  <c r="V119" i="11" s="1"/>
  <c r="P80" i="11"/>
  <c r="P79" i="11"/>
  <c r="P78" i="11"/>
  <c r="P77" i="11"/>
  <c r="P76" i="11"/>
  <c r="P105" i="11"/>
  <c r="P120" i="11" s="1"/>
  <c r="P103" i="11"/>
  <c r="P119" i="11" s="1"/>
  <c r="O80" i="11"/>
  <c r="O97" i="11" s="1"/>
  <c r="O98" i="11" s="1"/>
  <c r="O99" i="11" s="1"/>
  <c r="O79" i="11"/>
  <c r="O78" i="11"/>
  <c r="O91" i="11" s="1"/>
  <c r="O92" i="11" s="1"/>
  <c r="O93" i="11" s="1"/>
  <c r="O77" i="11"/>
  <c r="O88" i="11" s="1"/>
  <c r="O89" i="11" s="1"/>
  <c r="O90" i="11" s="1"/>
  <c r="O76" i="11"/>
  <c r="O105" i="11"/>
  <c r="O103" i="11"/>
  <c r="O119" i="11" s="1"/>
  <c r="T80" i="11"/>
  <c r="T97" i="11" s="1"/>
  <c r="T98" i="11" s="1"/>
  <c r="T99" i="11" s="1"/>
  <c r="T79" i="11"/>
  <c r="T94" i="11" s="1"/>
  <c r="T95" i="11" s="1"/>
  <c r="T96" i="11" s="1"/>
  <c r="T78" i="11"/>
  <c r="T91" i="11" s="1"/>
  <c r="T92" i="11" s="1"/>
  <c r="T93" i="11" s="1"/>
  <c r="T77" i="11"/>
  <c r="T76" i="11"/>
  <c r="T105" i="11"/>
  <c r="T120" i="11" s="1"/>
  <c r="T103" i="11"/>
  <c r="T119" i="11" s="1"/>
  <c r="R80" i="11"/>
  <c r="R97" i="11" s="1"/>
  <c r="R98" i="11" s="1"/>
  <c r="R99" i="11" s="1"/>
  <c r="R79" i="11"/>
  <c r="R78" i="11"/>
  <c r="R91" i="11" s="1"/>
  <c r="R92" i="11" s="1"/>
  <c r="R93" i="11" s="1"/>
  <c r="R77" i="11"/>
  <c r="R88" i="11" s="1"/>
  <c r="R89" i="11" s="1"/>
  <c r="R90" i="11" s="1"/>
  <c r="R76" i="11"/>
  <c r="R103" i="11"/>
  <c r="R119" i="11" s="1"/>
  <c r="R105" i="11"/>
  <c r="R120" i="11" s="1"/>
  <c r="O120" i="11"/>
  <c r="S80" i="11"/>
  <c r="S97" i="11" s="1"/>
  <c r="S98" i="11" s="1"/>
  <c r="S99" i="11" s="1"/>
  <c r="S79" i="11"/>
  <c r="S78" i="11"/>
  <c r="S91" i="11" s="1"/>
  <c r="S92" i="11" s="1"/>
  <c r="S93" i="11" s="1"/>
  <c r="S77" i="11"/>
  <c r="S88" i="11" s="1"/>
  <c r="S89" i="11" s="1"/>
  <c r="S90" i="11" s="1"/>
  <c r="S76" i="11"/>
  <c r="S105" i="11"/>
  <c r="S120" i="11" s="1"/>
  <c r="S103" i="11"/>
  <c r="S119" i="11" s="1"/>
  <c r="X80" i="11"/>
  <c r="X97" i="11" s="1"/>
  <c r="X79" i="11"/>
  <c r="X94" i="11" s="1"/>
  <c r="X95" i="11" s="1"/>
  <c r="X96" i="11" s="1"/>
  <c r="X78" i="11"/>
  <c r="X77" i="11"/>
  <c r="X76" i="11"/>
  <c r="X103" i="11"/>
  <c r="X119" i="11" s="1"/>
  <c r="X105" i="11"/>
  <c r="X120" i="11" s="1"/>
  <c r="U80" i="11"/>
  <c r="U79" i="11"/>
  <c r="U78" i="11"/>
  <c r="U77" i="11"/>
  <c r="U76" i="11"/>
  <c r="U105" i="11"/>
  <c r="U120" i="11" s="1"/>
  <c r="U103" i="11"/>
  <c r="U119" i="11" s="1"/>
  <c r="W80" i="11"/>
  <c r="W97" i="11" s="1"/>
  <c r="W98" i="11" s="1"/>
  <c r="W99" i="11" s="1"/>
  <c r="W79" i="11"/>
  <c r="W94" i="11" s="1"/>
  <c r="W95" i="11" s="1"/>
  <c r="W96" i="11" s="1"/>
  <c r="W78" i="11"/>
  <c r="W91" i="11" s="1"/>
  <c r="W92" i="11" s="1"/>
  <c r="W93" i="11" s="1"/>
  <c r="W77" i="11"/>
  <c r="W88" i="11" s="1"/>
  <c r="W89" i="11" s="1"/>
  <c r="W90" i="11" s="1"/>
  <c r="W76" i="11"/>
  <c r="W102" i="11" s="1"/>
  <c r="W105" i="11"/>
  <c r="W120" i="11" s="1"/>
  <c r="W103" i="11"/>
  <c r="W119" i="11" s="1"/>
  <c r="Q78" i="11"/>
  <c r="Q80" i="11"/>
  <c r="Q79" i="11"/>
  <c r="Q77" i="11"/>
  <c r="Q76" i="11"/>
  <c r="Q103" i="11"/>
  <c r="Q119" i="11" s="1"/>
  <c r="Q105" i="11"/>
  <c r="Q120" i="11" s="1"/>
  <c r="S80" i="10"/>
  <c r="S79" i="10"/>
  <c r="S94" i="10" s="1"/>
  <c r="S95" i="10" s="1"/>
  <c r="S96" i="10" s="1"/>
  <c r="S78" i="10"/>
  <c r="S77" i="10"/>
  <c r="S76" i="10"/>
  <c r="S105" i="10"/>
  <c r="S120" i="10" s="1"/>
  <c r="X80" i="10"/>
  <c r="X79" i="10"/>
  <c r="X78" i="10"/>
  <c r="X91" i="10" s="1"/>
  <c r="X77" i="10"/>
  <c r="X88" i="10" s="1"/>
  <c r="X89" i="10" s="1"/>
  <c r="X90" i="10" s="1"/>
  <c r="X76" i="10"/>
  <c r="X103" i="10"/>
  <c r="X119" i="10" s="1"/>
  <c r="X105" i="10"/>
  <c r="X120" i="10" s="1"/>
  <c r="O80" i="10"/>
  <c r="O79" i="10"/>
  <c r="O78" i="10"/>
  <c r="O91" i="10" s="1"/>
  <c r="O92" i="10" s="1"/>
  <c r="O93" i="10" s="1"/>
  <c r="O77" i="10"/>
  <c r="O76" i="10"/>
  <c r="O103" i="10"/>
  <c r="O119" i="10" s="1"/>
  <c r="O105" i="10"/>
  <c r="O120" i="10" s="1"/>
  <c r="W80" i="10"/>
  <c r="W97" i="10" s="1"/>
  <c r="W98" i="10" s="1"/>
  <c r="W99" i="10" s="1"/>
  <c r="W79" i="10"/>
  <c r="W78" i="10"/>
  <c r="W77" i="10"/>
  <c r="W76" i="10"/>
  <c r="W103" i="10"/>
  <c r="W119" i="10" s="1"/>
  <c r="Q80" i="10"/>
  <c r="Q79" i="10"/>
  <c r="Q78" i="10"/>
  <c r="Q77" i="10"/>
  <c r="Q76" i="10"/>
  <c r="Q105" i="10"/>
  <c r="Q120" i="10" s="1"/>
  <c r="Q103" i="10"/>
  <c r="Q119" i="10" s="1"/>
  <c r="R80" i="10"/>
  <c r="R79" i="10"/>
  <c r="R78" i="10"/>
  <c r="R77" i="10"/>
  <c r="R76" i="10"/>
  <c r="R103" i="10"/>
  <c r="R119" i="10" s="1"/>
  <c r="P80" i="10"/>
  <c r="P97" i="10" s="1"/>
  <c r="P98" i="10" s="1"/>
  <c r="P99" i="10" s="1"/>
  <c r="P79" i="10"/>
  <c r="P78" i="10"/>
  <c r="P77" i="10"/>
  <c r="P76" i="10"/>
  <c r="P105" i="10"/>
  <c r="P120" i="10" s="1"/>
  <c r="U80" i="10"/>
  <c r="U79" i="10"/>
  <c r="U78" i="10"/>
  <c r="U77" i="10"/>
  <c r="U76" i="10"/>
  <c r="V80" i="10"/>
  <c r="V79" i="10"/>
  <c r="V94" i="10" s="1"/>
  <c r="V95" i="10" s="1"/>
  <c r="V96" i="10" s="1"/>
  <c r="V78" i="10"/>
  <c r="V91" i="10" s="1"/>
  <c r="V92" i="10" s="1"/>
  <c r="V93" i="10" s="1"/>
  <c r="V77" i="10"/>
  <c r="V88" i="10" s="1"/>
  <c r="V89" i="10" s="1"/>
  <c r="V90" i="10" s="1"/>
  <c r="V76" i="10"/>
  <c r="V105" i="10"/>
  <c r="V120" i="10" s="1"/>
  <c r="T80" i="10"/>
  <c r="T79" i="10"/>
  <c r="T78" i="10"/>
  <c r="T77" i="10"/>
  <c r="T76" i="10"/>
  <c r="Y80" i="10"/>
  <c r="Y76" i="10"/>
  <c r="P119" i="9"/>
  <c r="O80" i="9"/>
  <c r="O97" i="9" s="1"/>
  <c r="O98" i="9" s="1"/>
  <c r="O99" i="9" s="1"/>
  <c r="O79" i="9"/>
  <c r="O78" i="9"/>
  <c r="O77" i="9"/>
  <c r="O88" i="9" s="1"/>
  <c r="O89" i="9" s="1"/>
  <c r="O90" i="9" s="1"/>
  <c r="O76" i="9"/>
  <c r="O103" i="9"/>
  <c r="O119" i="9" s="1"/>
  <c r="T80" i="9"/>
  <c r="T79" i="9"/>
  <c r="T94" i="9" s="1"/>
  <c r="T95" i="9" s="1"/>
  <c r="T96" i="9" s="1"/>
  <c r="T78" i="9"/>
  <c r="T91" i="9" s="1"/>
  <c r="T92" i="9" s="1"/>
  <c r="T93" i="9" s="1"/>
  <c r="T77" i="9"/>
  <c r="T76" i="9"/>
  <c r="T105" i="9"/>
  <c r="T120" i="9" s="1"/>
  <c r="T103" i="9"/>
  <c r="T119" i="9" s="1"/>
  <c r="R80" i="9"/>
  <c r="R79" i="9"/>
  <c r="R78" i="9"/>
  <c r="R77" i="9"/>
  <c r="R76" i="9"/>
  <c r="O120" i="9"/>
  <c r="W119" i="9"/>
  <c r="S80" i="9"/>
  <c r="S97" i="9" s="1"/>
  <c r="S98" i="9" s="1"/>
  <c r="S99" i="9" s="1"/>
  <c r="S79" i="9"/>
  <c r="S78" i="9"/>
  <c r="S77" i="9"/>
  <c r="S88" i="9" s="1"/>
  <c r="S89" i="9" s="1"/>
  <c r="S90" i="9" s="1"/>
  <c r="S76" i="9"/>
  <c r="X80" i="9"/>
  <c r="X79" i="9"/>
  <c r="X78" i="9"/>
  <c r="X91" i="9" s="1"/>
  <c r="X92" i="9" s="1"/>
  <c r="X93" i="9" s="1"/>
  <c r="X77" i="9"/>
  <c r="X88" i="9" s="1"/>
  <c r="X89" i="9" s="1"/>
  <c r="X90" i="9" s="1"/>
  <c r="X76" i="9"/>
  <c r="V80" i="9"/>
  <c r="V79" i="9"/>
  <c r="V78" i="9"/>
  <c r="V91" i="9" s="1"/>
  <c r="V92" i="9" s="1"/>
  <c r="V93" i="9" s="1"/>
  <c r="V77" i="9"/>
  <c r="V76" i="9"/>
  <c r="Q120" i="9"/>
  <c r="W80" i="9"/>
  <c r="W97" i="9" s="1"/>
  <c r="W98" i="9" s="1"/>
  <c r="W99" i="9" s="1"/>
  <c r="W79" i="9"/>
  <c r="W94" i="9" s="1"/>
  <c r="W78" i="9"/>
  <c r="W77" i="9"/>
  <c r="W88" i="9" s="1"/>
  <c r="W89" i="9" s="1"/>
  <c r="W90" i="9" s="1"/>
  <c r="W76" i="9"/>
  <c r="W85" i="9" s="1"/>
  <c r="W86" i="9" s="1"/>
  <c r="W87" i="9" s="1"/>
  <c r="Q80" i="9"/>
  <c r="Q79" i="9"/>
  <c r="Q78" i="9"/>
  <c r="Q77" i="9"/>
  <c r="Q76" i="9"/>
  <c r="U80" i="9"/>
  <c r="U79" i="9"/>
  <c r="U78" i="9"/>
  <c r="U91" i="9" s="1"/>
  <c r="U92" i="9" s="1"/>
  <c r="U93" i="9" s="1"/>
  <c r="U77" i="9"/>
  <c r="U88" i="9" s="1"/>
  <c r="U89" i="9" s="1"/>
  <c r="U90" i="9" s="1"/>
  <c r="U76" i="9"/>
  <c r="P80" i="9"/>
  <c r="P97" i="9" s="1"/>
  <c r="P98" i="9" s="1"/>
  <c r="P99" i="9" s="1"/>
  <c r="P79" i="9"/>
  <c r="P94" i="9" s="1"/>
  <c r="P95" i="9" s="1"/>
  <c r="P96" i="9" s="1"/>
  <c r="P78" i="9"/>
  <c r="P91" i="9" s="1"/>
  <c r="P92" i="9" s="1"/>
  <c r="P93" i="9" s="1"/>
  <c r="P77" i="9"/>
  <c r="P76" i="9"/>
  <c r="Y80" i="9"/>
  <c r="Y76" i="9"/>
  <c r="O80" i="8"/>
  <c r="O79" i="8"/>
  <c r="O78" i="8"/>
  <c r="O91" i="8" s="1"/>
  <c r="O92" i="8" s="1"/>
  <c r="O93" i="8" s="1"/>
  <c r="O77" i="8"/>
  <c r="O88" i="8" s="1"/>
  <c r="O89" i="8" s="1"/>
  <c r="O90" i="8" s="1"/>
  <c r="O76" i="8"/>
  <c r="O103" i="8"/>
  <c r="O105" i="8"/>
  <c r="O120" i="8" s="1"/>
  <c r="T80" i="8"/>
  <c r="T97" i="8" s="1"/>
  <c r="T98" i="8" s="1"/>
  <c r="T99" i="8" s="1"/>
  <c r="T79" i="8"/>
  <c r="T78" i="8"/>
  <c r="T77" i="8"/>
  <c r="T88" i="8" s="1"/>
  <c r="T89" i="8" s="1"/>
  <c r="T90" i="8" s="1"/>
  <c r="T76" i="8"/>
  <c r="T103" i="8"/>
  <c r="T119" i="8" s="1"/>
  <c r="T105" i="8"/>
  <c r="T120" i="8" s="1"/>
  <c r="U80" i="8"/>
  <c r="U79" i="8"/>
  <c r="U94" i="8" s="1"/>
  <c r="U95" i="8" s="1"/>
  <c r="U96" i="8" s="1"/>
  <c r="U78" i="8"/>
  <c r="U77" i="8"/>
  <c r="U76" i="8"/>
  <c r="U103" i="8"/>
  <c r="U119" i="8" s="1"/>
  <c r="U105" i="8"/>
  <c r="U120" i="8" s="1"/>
  <c r="S80" i="8"/>
  <c r="S79" i="8"/>
  <c r="S94" i="8" s="1"/>
  <c r="S95" i="8" s="1"/>
  <c r="S96" i="8" s="1"/>
  <c r="S78" i="8"/>
  <c r="S91" i="8" s="1"/>
  <c r="S92" i="8" s="1"/>
  <c r="S93" i="8" s="1"/>
  <c r="S77" i="8"/>
  <c r="S88" i="8" s="1"/>
  <c r="S89" i="8" s="1"/>
  <c r="S90" i="8" s="1"/>
  <c r="S76" i="8"/>
  <c r="S103" i="8"/>
  <c r="S119" i="8" s="1"/>
  <c r="S105" i="8"/>
  <c r="S120" i="8" s="1"/>
  <c r="X80" i="8"/>
  <c r="X79" i="8"/>
  <c r="X94" i="8" s="1"/>
  <c r="X78" i="8"/>
  <c r="X91" i="8" s="1"/>
  <c r="X92" i="8" s="1"/>
  <c r="X93" i="8" s="1"/>
  <c r="X77" i="8"/>
  <c r="X88" i="8" s="1"/>
  <c r="X76" i="8"/>
  <c r="X103" i="8"/>
  <c r="X119" i="8" s="1"/>
  <c r="X105" i="8"/>
  <c r="X120" i="8" s="1"/>
  <c r="R80" i="8"/>
  <c r="R79" i="8"/>
  <c r="R78" i="8"/>
  <c r="R77" i="8"/>
  <c r="R76" i="8"/>
  <c r="R105" i="8"/>
  <c r="R120" i="8" s="1"/>
  <c r="R103" i="8"/>
  <c r="R119" i="8" s="1"/>
  <c r="W80" i="8"/>
  <c r="W97" i="8" s="1"/>
  <c r="W98" i="8" s="1"/>
  <c r="W99" i="8" s="1"/>
  <c r="W79" i="8"/>
  <c r="W94" i="8" s="1"/>
  <c r="W78" i="8"/>
  <c r="W77" i="8"/>
  <c r="W76" i="8"/>
  <c r="W105" i="8"/>
  <c r="W120" i="8" s="1"/>
  <c r="W103" i="8"/>
  <c r="W119" i="8" s="1"/>
  <c r="Y80" i="8"/>
  <c r="Y79" i="8"/>
  <c r="Y76" i="8"/>
  <c r="Y103" i="8"/>
  <c r="Y119" i="8" s="1"/>
  <c r="V80" i="8"/>
  <c r="V79" i="8"/>
  <c r="V94" i="8" s="1"/>
  <c r="V95" i="8" s="1"/>
  <c r="V96" i="8" s="1"/>
  <c r="V78" i="8"/>
  <c r="V77" i="8"/>
  <c r="V76" i="8"/>
  <c r="V105" i="8"/>
  <c r="V120" i="8" s="1"/>
  <c r="V103" i="8"/>
  <c r="V119" i="8" s="1"/>
  <c r="O119" i="8"/>
  <c r="P80" i="8"/>
  <c r="P97" i="8" s="1"/>
  <c r="P98" i="8" s="1"/>
  <c r="P99" i="8" s="1"/>
  <c r="P79" i="8"/>
  <c r="P78" i="8"/>
  <c r="P77" i="8"/>
  <c r="P76" i="8"/>
  <c r="P105" i="8"/>
  <c r="P120" i="8" s="1"/>
  <c r="P103" i="8"/>
  <c r="P119" i="8" s="1"/>
  <c r="Q77" i="8"/>
  <c r="Q80" i="8"/>
  <c r="Q97" i="8" s="1"/>
  <c r="Q98" i="8" s="1"/>
  <c r="Q99" i="8" s="1"/>
  <c r="Q79" i="8"/>
  <c r="Q94" i="8" s="1"/>
  <c r="Q95" i="8" s="1"/>
  <c r="Q96" i="8" s="1"/>
  <c r="Q78" i="8"/>
  <c r="Q91" i="8" s="1"/>
  <c r="Q92" i="8" s="1"/>
  <c r="Q93" i="8" s="1"/>
  <c r="Q76" i="8"/>
  <c r="Q103" i="8"/>
  <c r="Q119" i="8" s="1"/>
  <c r="Q105" i="8"/>
  <c r="Q120" i="8" s="1"/>
  <c r="Q97" i="9"/>
  <c r="Q98" i="9" s="1"/>
  <c r="Q99" i="9" s="1"/>
  <c r="X119" i="9"/>
  <c r="P88" i="10"/>
  <c r="P89" i="10" s="1"/>
  <c r="P90" i="10" s="1"/>
  <c r="Q119" i="9"/>
  <c r="S2" i="1"/>
  <c r="R2" i="11"/>
  <c r="R146" i="11" s="1"/>
  <c r="R2" i="10"/>
  <c r="R146" i="10" s="1"/>
  <c r="R2" i="9"/>
  <c r="R146" i="9" s="1"/>
  <c r="R2" i="8"/>
  <c r="R146" i="8" s="1"/>
  <c r="R2" i="2"/>
  <c r="R146" i="2" s="1"/>
  <c r="R2" i="7"/>
  <c r="R8" i="7" s="1"/>
  <c r="S97" i="8"/>
  <c r="S98" i="8" s="1"/>
  <c r="S99" i="8" s="1"/>
  <c r="T88" i="11"/>
  <c r="T89" i="11" s="1"/>
  <c r="T90" i="11" s="1"/>
  <c r="U120" i="9"/>
  <c r="W120" i="9"/>
  <c r="V120" i="9"/>
  <c r="Y195" i="1"/>
  <c r="Y192" i="1"/>
  <c r="Y196" i="1"/>
  <c r="Y194" i="1"/>
  <c r="Y193" i="1"/>
  <c r="V38" i="10"/>
  <c r="V91" i="11"/>
  <c r="S94" i="11"/>
  <c r="S95" i="11" s="1"/>
  <c r="S96" i="11" s="1"/>
  <c r="V88" i="9"/>
  <c r="V89" i="9" s="1"/>
  <c r="V90" i="9" s="1"/>
  <c r="V97" i="9"/>
  <c r="V98" i="9" s="1"/>
  <c r="V99" i="9" s="1"/>
  <c r="O91" i="9"/>
  <c r="O92" i="9" s="1"/>
  <c r="O93" i="9" s="1"/>
  <c r="S91" i="9"/>
  <c r="S92" i="9" s="1"/>
  <c r="S93" i="9" s="1"/>
  <c r="S94" i="9"/>
  <c r="S95" i="9" s="1"/>
  <c r="S96" i="9" s="1"/>
  <c r="X120" i="9"/>
  <c r="S120" i="9"/>
  <c r="V97" i="10"/>
  <c r="V98" i="10" s="1"/>
  <c r="V99" i="10" s="1"/>
  <c r="R94" i="10"/>
  <c r="R95" i="10" s="1"/>
  <c r="R96" i="10" s="1"/>
  <c r="R119" i="9"/>
  <c r="T91" i="8"/>
  <c r="T92" i="8" s="1"/>
  <c r="T93" i="8" s="1"/>
  <c r="T94" i="8"/>
  <c r="T95" i="8" s="1"/>
  <c r="T96" i="8" s="1"/>
  <c r="U91" i="8"/>
  <c r="U92" i="8" s="1"/>
  <c r="U93" i="8" s="1"/>
  <c r="U88" i="8"/>
  <c r="U89" i="8" s="1"/>
  <c r="U90" i="8" s="1"/>
  <c r="U97" i="8"/>
  <c r="U98" i="8" s="1"/>
  <c r="U99" i="8" s="1"/>
  <c r="O94" i="8"/>
  <c r="O95" i="8" s="1"/>
  <c r="O96" i="8" s="1"/>
  <c r="O97" i="8"/>
  <c r="O98" i="8" s="1"/>
  <c r="O99" i="8" s="1"/>
  <c r="Q88" i="8"/>
  <c r="Q89" i="8" s="1"/>
  <c r="Q90" i="8" s="1"/>
  <c r="O94" i="11"/>
  <c r="O95" i="11" s="1"/>
  <c r="O96" i="11" s="1"/>
  <c r="R94" i="11"/>
  <c r="R95" i="11" s="1"/>
  <c r="R96" i="11" s="1"/>
  <c r="T88" i="9"/>
  <c r="T89" i="9" s="1"/>
  <c r="T90" i="9" s="1"/>
  <c r="T97" i="9"/>
  <c r="T98" i="9" s="1"/>
  <c r="T99" i="9" s="1"/>
  <c r="P88" i="9"/>
  <c r="P89" i="9" s="1"/>
  <c r="P90" i="9" s="1"/>
  <c r="U94" i="9"/>
  <c r="U95" i="9" s="1"/>
  <c r="U96" i="9" s="1"/>
  <c r="U97" i="9"/>
  <c r="U98" i="9" s="1"/>
  <c r="U99" i="9" s="1"/>
  <c r="U119" i="9"/>
  <c r="P120" i="9"/>
  <c r="V119" i="9"/>
  <c r="O94" i="10"/>
  <c r="O95" i="10" s="1"/>
  <c r="O96" i="10" s="1"/>
  <c r="O88" i="10"/>
  <c r="O89" i="10" s="1"/>
  <c r="O90" i="10" s="1"/>
  <c r="O97" i="10"/>
  <c r="O98" i="10" s="1"/>
  <c r="O99" i="10" s="1"/>
  <c r="V85" i="9"/>
  <c r="V86" i="9" s="1"/>
  <c r="V87" i="9" s="1"/>
  <c r="V102" i="9"/>
  <c r="U38" i="8"/>
  <c r="O27" i="9"/>
  <c r="V28" i="9"/>
  <c r="U28" i="9"/>
  <c r="V28" i="8"/>
  <c r="U28" i="8"/>
  <c r="V28" i="10"/>
  <c r="U28" i="10"/>
  <c r="V28" i="11"/>
  <c r="U28" i="11"/>
  <c r="V95" i="2"/>
  <c r="V96" i="2" s="1"/>
  <c r="S95" i="2"/>
  <c r="S96" i="2" s="1"/>
  <c r="V98" i="2"/>
  <c r="V99" i="2" s="1"/>
  <c r="Q98" i="2"/>
  <c r="Q99" i="2" s="1"/>
  <c r="T95" i="2"/>
  <c r="T96" i="2" s="1"/>
  <c r="W98" i="2"/>
  <c r="W99" i="2" s="1"/>
  <c r="R95" i="2"/>
  <c r="R96" i="2" s="1"/>
  <c r="P95" i="2"/>
  <c r="P96" i="2" s="1"/>
  <c r="T98" i="2"/>
  <c r="T99" i="2" s="1"/>
  <c r="Q95" i="2"/>
  <c r="Q96" i="2" s="1"/>
  <c r="P98" i="2"/>
  <c r="P99" i="2" s="1"/>
  <c r="U92" i="2"/>
  <c r="U93" i="2" s="1"/>
  <c r="V92" i="2"/>
  <c r="V93" i="2" s="1"/>
  <c r="V120" i="2" s="1"/>
  <c r="V92" i="11"/>
  <c r="V93" i="11" s="1"/>
  <c r="R92" i="2"/>
  <c r="R93" i="2" s="1"/>
  <c r="Q92" i="2"/>
  <c r="Q93" i="2" s="1"/>
  <c r="W92" i="2"/>
  <c r="W93" i="2" s="1"/>
  <c r="T89" i="2"/>
  <c r="T90" i="2" s="1"/>
  <c r="T119" i="2" s="1"/>
  <c r="P89" i="2"/>
  <c r="P90" i="2" s="1"/>
  <c r="Q89" i="2"/>
  <c r="Q90" i="2" s="1"/>
  <c r="V89" i="2"/>
  <c r="V90" i="2" s="1"/>
  <c r="R89" i="2"/>
  <c r="R90" i="2" s="1"/>
  <c r="Q86" i="2"/>
  <c r="Q87" i="2" s="1"/>
  <c r="U86" i="2"/>
  <c r="U87" i="2" s="1"/>
  <c r="S86" i="2"/>
  <c r="S87" i="2" s="1"/>
  <c r="R86" i="2"/>
  <c r="R87" i="2" s="1"/>
  <c r="R102" i="2" s="1"/>
  <c r="W86" i="2"/>
  <c r="W87" i="2" s="1"/>
  <c r="V86" i="2"/>
  <c r="V87" i="2" s="1"/>
  <c r="V102" i="2" s="1"/>
  <c r="W91" i="9"/>
  <c r="W94" i="10"/>
  <c r="S102" i="2"/>
  <c r="X97" i="8"/>
  <c r="Y70" i="2"/>
  <c r="Y70" i="10"/>
  <c r="Y70" i="11"/>
  <c r="Y70" i="8"/>
  <c r="Y70" i="9"/>
  <c r="Z187" i="1"/>
  <c r="X97" i="2"/>
  <c r="X88" i="2"/>
  <c r="X85" i="2"/>
  <c r="X86" i="2" s="1"/>
  <c r="X87" i="2" s="1"/>
  <c r="X94" i="2"/>
  <c r="X91" i="2"/>
  <c r="X97" i="9"/>
  <c r="X98" i="9" s="1"/>
  <c r="X99" i="9" s="1"/>
  <c r="X94" i="9"/>
  <c r="W91" i="10"/>
  <c r="W92" i="10" s="1"/>
  <c r="W93" i="10" s="1"/>
  <c r="X88" i="11"/>
  <c r="X89" i="11" s="1"/>
  <c r="X90" i="11" s="1"/>
  <c r="X91" i="11"/>
  <c r="X92" i="11" s="1"/>
  <c r="X93" i="11" s="1"/>
  <c r="W88" i="10"/>
  <c r="X97" i="10"/>
  <c r="X94" i="10"/>
  <c r="X95" i="10" s="1"/>
  <c r="X96" i="10" s="1"/>
  <c r="O91" i="2"/>
  <c r="O37" i="9"/>
  <c r="Z69" i="9"/>
  <c r="Z69" i="10"/>
  <c r="Z69" i="8"/>
  <c r="Z69" i="11"/>
  <c r="O95" i="2"/>
  <c r="O96" i="2" s="1"/>
  <c r="O89" i="2"/>
  <c r="O90" i="2" s="1"/>
  <c r="P50" i="2"/>
  <c r="Z69" i="2"/>
  <c r="U28" i="2"/>
  <c r="V28" i="2"/>
  <c r="O102" i="2"/>
  <c r="T16" i="1"/>
  <c r="Y78" i="10" l="1"/>
  <c r="Y77" i="10"/>
  <c r="Y105" i="10"/>
  <c r="Y120" i="10" s="1"/>
  <c r="Y79" i="10"/>
  <c r="Y94" i="10" s="1"/>
  <c r="Y76" i="11"/>
  <c r="O27" i="8"/>
  <c r="Y77" i="8"/>
  <c r="Y78" i="9"/>
  <c r="Y91" i="9" s="1"/>
  <c r="Y77" i="9"/>
  <c r="Y88" i="9" s="1"/>
  <c r="Y105" i="8"/>
  <c r="Y120" i="8" s="1"/>
  <c r="Y105" i="11"/>
  <c r="Y120" i="11" s="1"/>
  <c r="Y77" i="11"/>
  <c r="Y88" i="11" s="1"/>
  <c r="Y105" i="9"/>
  <c r="Y120" i="9" s="1"/>
  <c r="Y103" i="9"/>
  <c r="Y119" i="9" s="1"/>
  <c r="Y103" i="11"/>
  <c r="Y119" i="11" s="1"/>
  <c r="Y79" i="11"/>
  <c r="Y94" i="11" s="1"/>
  <c r="Z71" i="2"/>
  <c r="Z71" i="9"/>
  <c r="Z71" i="11"/>
  <c r="Z71" i="10"/>
  <c r="Z71" i="8"/>
  <c r="Y78" i="11"/>
  <c r="P102" i="9"/>
  <c r="P85" i="9"/>
  <c r="P86" i="9" s="1"/>
  <c r="P87" i="9" s="1"/>
  <c r="R102" i="11"/>
  <c r="R85" i="11"/>
  <c r="R86" i="11" s="1"/>
  <c r="R87" i="11" s="1"/>
  <c r="O102" i="11"/>
  <c r="O85" i="11"/>
  <c r="O86" i="11" s="1"/>
  <c r="O87" i="11" s="1"/>
  <c r="U88" i="10"/>
  <c r="U89" i="10" s="1"/>
  <c r="U90" i="10" s="1"/>
  <c r="R88" i="10"/>
  <c r="R89" i="10" s="1"/>
  <c r="R90" i="10" s="1"/>
  <c r="O94" i="9"/>
  <c r="O95" i="9" s="1"/>
  <c r="O96" i="9" s="1"/>
  <c r="V94" i="9"/>
  <c r="V95" i="9" s="1"/>
  <c r="V96" i="9" s="1"/>
  <c r="T94" i="10"/>
  <c r="T95" i="10" s="1"/>
  <c r="T96" i="10" s="1"/>
  <c r="S91" i="10"/>
  <c r="S92" i="10" s="1"/>
  <c r="S93" i="10" s="1"/>
  <c r="Q88" i="11"/>
  <c r="Q89" i="11" s="1"/>
  <c r="Q90" i="11" s="1"/>
  <c r="V97" i="8"/>
  <c r="V98" i="8" s="1"/>
  <c r="V99" i="8" s="1"/>
  <c r="T2" i="1"/>
  <c r="S2" i="11"/>
  <c r="S146" i="11" s="1"/>
  <c r="S2" i="9"/>
  <c r="S146" i="9" s="1"/>
  <c r="S2" i="8"/>
  <c r="S146" i="8" s="1"/>
  <c r="S2" i="10"/>
  <c r="S146" i="10" s="1"/>
  <c r="S2" i="2"/>
  <c r="S146" i="2" s="1"/>
  <c r="S2" i="7"/>
  <c r="S8" i="7" s="1"/>
  <c r="Q94" i="10"/>
  <c r="Q95" i="10" s="1"/>
  <c r="Q96" i="10" s="1"/>
  <c r="P94" i="10"/>
  <c r="P95" i="10" s="1"/>
  <c r="P96" i="10" s="1"/>
  <c r="Q91" i="9"/>
  <c r="Q92" i="9" s="1"/>
  <c r="Q93" i="9" s="1"/>
  <c r="R91" i="9"/>
  <c r="R92" i="9" s="1"/>
  <c r="R93" i="9" s="1"/>
  <c r="U102" i="8"/>
  <c r="U85" i="8"/>
  <c r="U86" i="8" s="1"/>
  <c r="U87" i="8" s="1"/>
  <c r="T85" i="8"/>
  <c r="T86" i="8" s="1"/>
  <c r="T87" i="8" s="1"/>
  <c r="T102" i="8"/>
  <c r="U94" i="10"/>
  <c r="U95" i="10" s="1"/>
  <c r="U96" i="10" s="1"/>
  <c r="R102" i="10"/>
  <c r="R85" i="10"/>
  <c r="R86" i="10" s="1"/>
  <c r="R87" i="10" s="1"/>
  <c r="R91" i="10"/>
  <c r="R92" i="10" s="1"/>
  <c r="R93" i="10" s="1"/>
  <c r="V85" i="10"/>
  <c r="V86" i="10" s="1"/>
  <c r="V87" i="10" s="1"/>
  <c r="V102" i="10"/>
  <c r="S102" i="11"/>
  <c r="S85" i="11"/>
  <c r="S86" i="11" s="1"/>
  <c r="S87" i="11" s="1"/>
  <c r="P88" i="11"/>
  <c r="P89" i="11" s="1"/>
  <c r="P90" i="11" s="1"/>
  <c r="T97" i="10"/>
  <c r="T98" i="10" s="1"/>
  <c r="T99" i="10" s="1"/>
  <c r="S97" i="10"/>
  <c r="S98" i="10" s="1"/>
  <c r="S99" i="10" s="1"/>
  <c r="S88" i="10"/>
  <c r="S89" i="10" s="1"/>
  <c r="S90" i="10" s="1"/>
  <c r="T102" i="11"/>
  <c r="T85" i="11"/>
  <c r="T86" i="11" s="1"/>
  <c r="T87" i="11" s="1"/>
  <c r="Q91" i="11"/>
  <c r="Q92" i="11" s="1"/>
  <c r="Q93" i="11" s="1"/>
  <c r="V88" i="8"/>
  <c r="V89" i="8" s="1"/>
  <c r="V90" i="8" s="1"/>
  <c r="V91" i="8"/>
  <c r="V92" i="8" s="1"/>
  <c r="V93" i="8" s="1"/>
  <c r="Q97" i="10"/>
  <c r="Q98" i="10" s="1"/>
  <c r="Q99" i="10" s="1"/>
  <c r="Q94" i="9"/>
  <c r="Q95" i="9" s="1"/>
  <c r="Q96" i="9" s="1"/>
  <c r="R94" i="9"/>
  <c r="R95" i="9" s="1"/>
  <c r="R96" i="9" s="1"/>
  <c r="U91" i="11"/>
  <c r="U92" i="11" s="1"/>
  <c r="U93" i="11" s="1"/>
  <c r="R94" i="8"/>
  <c r="R95" i="8" s="1"/>
  <c r="R96" i="8" s="1"/>
  <c r="O102" i="10"/>
  <c r="O85" i="10"/>
  <c r="O86" i="10" s="1"/>
  <c r="O87" i="10" s="1"/>
  <c r="U85" i="9"/>
  <c r="U86" i="9" s="1"/>
  <c r="U87" i="9" s="1"/>
  <c r="U102" i="9"/>
  <c r="T85" i="9"/>
  <c r="T86" i="9" s="1"/>
  <c r="T87" i="9" s="1"/>
  <c r="T102" i="9"/>
  <c r="Q85" i="8"/>
  <c r="Q86" i="8" s="1"/>
  <c r="Q87" i="8" s="1"/>
  <c r="Q102" i="8"/>
  <c r="S102" i="9"/>
  <c r="S85" i="9"/>
  <c r="S86" i="9" s="1"/>
  <c r="S87" i="9" s="1"/>
  <c r="O102" i="9"/>
  <c r="O85" i="9"/>
  <c r="O86" i="9" s="1"/>
  <c r="O87" i="9" s="1"/>
  <c r="P97" i="11"/>
  <c r="P98" i="11" s="1"/>
  <c r="P99" i="11" s="1"/>
  <c r="T88" i="10"/>
  <c r="T89" i="10" s="1"/>
  <c r="T90" i="10" s="1"/>
  <c r="Q94" i="11"/>
  <c r="Q95" i="11" s="1"/>
  <c r="Q96" i="11" s="1"/>
  <c r="P94" i="8"/>
  <c r="P95" i="8" s="1"/>
  <c r="P96" i="8" s="1"/>
  <c r="P88" i="8"/>
  <c r="P89" i="8" s="1"/>
  <c r="P90" i="8" s="1"/>
  <c r="Q88" i="10"/>
  <c r="Q89" i="10" s="1"/>
  <c r="Q90" i="10" s="1"/>
  <c r="U97" i="11"/>
  <c r="U98" i="11" s="1"/>
  <c r="U99" i="11" s="1"/>
  <c r="U94" i="11"/>
  <c r="U95" i="11" s="1"/>
  <c r="U96" i="11" s="1"/>
  <c r="R91" i="8"/>
  <c r="R92" i="8" s="1"/>
  <c r="R93" i="8" s="1"/>
  <c r="R88" i="8"/>
  <c r="R89" i="8" s="1"/>
  <c r="R90" i="8" s="1"/>
  <c r="Z196" i="1"/>
  <c r="Z192" i="1"/>
  <c r="Z193" i="1"/>
  <c r="Z194" i="1"/>
  <c r="K129" i="1" s="1"/>
  <c r="Z195" i="1"/>
  <c r="O102" i="8"/>
  <c r="O85" i="8"/>
  <c r="O86" i="8" s="1"/>
  <c r="O87" i="8" s="1"/>
  <c r="U91" i="10"/>
  <c r="U92" i="10" s="1"/>
  <c r="U93" i="10" s="1"/>
  <c r="U97" i="10"/>
  <c r="U98" i="10" s="1"/>
  <c r="U99" i="10" s="1"/>
  <c r="R97" i="10"/>
  <c r="R98" i="10" s="1"/>
  <c r="R99" i="10" s="1"/>
  <c r="P94" i="11"/>
  <c r="P95" i="11" s="1"/>
  <c r="P96" i="11" s="1"/>
  <c r="P91" i="11"/>
  <c r="P92" i="11" s="1"/>
  <c r="P93" i="11" s="1"/>
  <c r="T91" i="10"/>
  <c r="T92" i="10" s="1"/>
  <c r="T93" i="10" s="1"/>
  <c r="S102" i="10"/>
  <c r="S85" i="10"/>
  <c r="S86" i="10" s="1"/>
  <c r="S87" i="10" s="1"/>
  <c r="Q97" i="11"/>
  <c r="Q98" i="11" s="1"/>
  <c r="Q99" i="11" s="1"/>
  <c r="P91" i="8"/>
  <c r="P92" i="8" s="1"/>
  <c r="P93" i="8" s="1"/>
  <c r="S102" i="8"/>
  <c r="S85" i="8"/>
  <c r="S86" i="8" s="1"/>
  <c r="S87" i="8" s="1"/>
  <c r="Q91" i="10"/>
  <c r="Q92" i="10" s="1"/>
  <c r="Q93" i="10" s="1"/>
  <c r="P91" i="10"/>
  <c r="P92" i="10" s="1"/>
  <c r="P93" i="10" s="1"/>
  <c r="Q88" i="9"/>
  <c r="Q89" i="9" s="1"/>
  <c r="Q90" i="9" s="1"/>
  <c r="R88" i="9"/>
  <c r="R89" i="9" s="1"/>
  <c r="R90" i="9" s="1"/>
  <c r="R97" i="9"/>
  <c r="R98" i="9" s="1"/>
  <c r="R99" i="9" s="1"/>
  <c r="U88" i="11"/>
  <c r="U89" i="11" s="1"/>
  <c r="U90" i="11" s="1"/>
  <c r="R97" i="8"/>
  <c r="R98" i="8" s="1"/>
  <c r="R99" i="8" s="1"/>
  <c r="W102" i="9"/>
  <c r="X85" i="10"/>
  <c r="X102" i="10"/>
  <c r="W85" i="8"/>
  <c r="W102" i="8"/>
  <c r="X85" i="9"/>
  <c r="X86" i="9" s="1"/>
  <c r="X87" i="9" s="1"/>
  <c r="X102" i="9"/>
  <c r="W85" i="10"/>
  <c r="W86" i="10" s="1"/>
  <c r="W87" i="10" s="1"/>
  <c r="W102" i="10"/>
  <c r="X85" i="11"/>
  <c r="X86" i="11" s="1"/>
  <c r="X87" i="11" s="1"/>
  <c r="X102" i="11"/>
  <c r="X85" i="8"/>
  <c r="X86" i="8" s="1"/>
  <c r="X87" i="8" s="1"/>
  <c r="X102" i="8"/>
  <c r="O27" i="10"/>
  <c r="O27" i="11"/>
  <c r="X98" i="8"/>
  <c r="X99" i="8" s="1"/>
  <c r="X98" i="2"/>
  <c r="X99" i="2" s="1"/>
  <c r="X95" i="8"/>
  <c r="X96" i="8" s="1"/>
  <c r="W95" i="9"/>
  <c r="W96" i="9" s="1"/>
  <c r="X95" i="2"/>
  <c r="X96" i="2" s="1"/>
  <c r="X98" i="10"/>
  <c r="X99" i="10" s="1"/>
  <c r="X95" i="9"/>
  <c r="X96" i="9" s="1"/>
  <c r="W95" i="8"/>
  <c r="W96" i="8" s="1"/>
  <c r="W95" i="10"/>
  <c r="W96" i="10" s="1"/>
  <c r="X98" i="11"/>
  <c r="X99" i="11" s="1"/>
  <c r="X92" i="10"/>
  <c r="X93" i="10" s="1"/>
  <c r="W91" i="8"/>
  <c r="X92" i="2"/>
  <c r="X93" i="2" s="1"/>
  <c r="X120" i="2" s="1"/>
  <c r="W92" i="9"/>
  <c r="W93" i="9" s="1"/>
  <c r="W89" i="10"/>
  <c r="W90" i="10" s="1"/>
  <c r="X89" i="2"/>
  <c r="X90" i="2" s="1"/>
  <c r="X89" i="8"/>
  <c r="X90" i="8" s="1"/>
  <c r="W88" i="8"/>
  <c r="W89" i="8" s="1"/>
  <c r="W90" i="8" s="1"/>
  <c r="X86" i="10"/>
  <c r="X87" i="10" s="1"/>
  <c r="W85" i="11"/>
  <c r="W86" i="11" s="1"/>
  <c r="W87" i="11" s="1"/>
  <c r="W86" i="8"/>
  <c r="W87" i="8" s="1"/>
  <c r="Y94" i="9"/>
  <c r="Y95" i="9" s="1"/>
  <c r="Y96" i="9" s="1"/>
  <c r="Y85" i="2"/>
  <c r="Y88" i="2"/>
  <c r="Y89" i="2" s="1"/>
  <c r="Y90" i="2" s="1"/>
  <c r="Y97" i="2"/>
  <c r="Y98" i="2" s="1"/>
  <c r="Y99" i="2" s="1"/>
  <c r="Y94" i="2"/>
  <c r="Y95" i="2" s="1"/>
  <c r="Y96" i="2" s="1"/>
  <c r="Y94" i="8"/>
  <c r="Y97" i="8"/>
  <c r="Y98" i="8" s="1"/>
  <c r="Y99" i="8" s="1"/>
  <c r="Y91" i="8"/>
  <c r="Y97" i="9"/>
  <c r="Y98" i="9" s="1"/>
  <c r="Y99" i="9" s="1"/>
  <c r="Y88" i="8"/>
  <c r="Y89" i="8" s="1"/>
  <c r="Y90" i="8" s="1"/>
  <c r="Y97" i="11"/>
  <c r="Y98" i="11" s="1"/>
  <c r="Y99" i="11" s="1"/>
  <c r="Y91" i="11"/>
  <c r="Y92" i="11" s="1"/>
  <c r="Y93" i="11" s="1"/>
  <c r="Z70" i="11"/>
  <c r="Z70" i="10"/>
  <c r="Z70" i="9"/>
  <c r="Z70" i="8"/>
  <c r="Z70" i="2"/>
  <c r="J129" i="1"/>
  <c r="Y88" i="10"/>
  <c r="Y97" i="10"/>
  <c r="Y98" i="10" s="1"/>
  <c r="Y99" i="10" s="1"/>
  <c r="Y91" i="10"/>
  <c r="Y92" i="10" s="1"/>
  <c r="Y93" i="10" s="1"/>
  <c r="O92" i="2"/>
  <c r="U17" i="10"/>
  <c r="O51" i="10"/>
  <c r="U17" i="9"/>
  <c r="O51" i="9"/>
  <c r="U27" i="9"/>
  <c r="O50" i="9"/>
  <c r="U37" i="9"/>
  <c r="O49" i="9"/>
  <c r="O37" i="8"/>
  <c r="W102" i="2"/>
  <c r="V119" i="2"/>
  <c r="P119" i="2"/>
  <c r="U119" i="2"/>
  <c r="R120" i="2"/>
  <c r="U120" i="2"/>
  <c r="P102" i="2"/>
  <c r="U102" i="2"/>
  <c r="S120" i="2"/>
  <c r="T102" i="2"/>
  <c r="X102" i="2"/>
  <c r="Q120" i="2"/>
  <c r="U16" i="1"/>
  <c r="Z103" i="9" l="1"/>
  <c r="Z119" i="9" s="1"/>
  <c r="Z77" i="9"/>
  <c r="Z80" i="9"/>
  <c r="Z76" i="9"/>
  <c r="Z79" i="9"/>
  <c r="Z105" i="9"/>
  <c r="Z120" i="9" s="1"/>
  <c r="Z78" i="9"/>
  <c r="Z79" i="8"/>
  <c r="Z94" i="8" s="1"/>
  <c r="Z95" i="8" s="1"/>
  <c r="Z96" i="8" s="1"/>
  <c r="Z103" i="8"/>
  <c r="Z119" i="8" s="1"/>
  <c r="Z78" i="8"/>
  <c r="Z105" i="8"/>
  <c r="Z120" i="8" s="1"/>
  <c r="Z77" i="8"/>
  <c r="Z88" i="8" s="1"/>
  <c r="Z89" i="8" s="1"/>
  <c r="Z90" i="8" s="1"/>
  <c r="Z80" i="8"/>
  <c r="Z76" i="8"/>
  <c r="Z105" i="2"/>
  <c r="Z103" i="2"/>
  <c r="Z79" i="2"/>
  <c r="Z78" i="2"/>
  <c r="Z80" i="2"/>
  <c r="Z76" i="2"/>
  <c r="Z77" i="2"/>
  <c r="Z103" i="10"/>
  <c r="Z119" i="10" s="1"/>
  <c r="Z105" i="10"/>
  <c r="Z120" i="10" s="1"/>
  <c r="Z80" i="10"/>
  <c r="Z97" i="10" s="1"/>
  <c r="Z98" i="10" s="1"/>
  <c r="Z99" i="10" s="1"/>
  <c r="Z76" i="10"/>
  <c r="Z79" i="10"/>
  <c r="Z78" i="10"/>
  <c r="Z77" i="10"/>
  <c r="Z88" i="10" s="1"/>
  <c r="Z89" i="10" s="1"/>
  <c r="Z90" i="10" s="1"/>
  <c r="Z77" i="11"/>
  <c r="Z80" i="11"/>
  <c r="Z76" i="11"/>
  <c r="Z79" i="11"/>
  <c r="Z94" i="11" s="1"/>
  <c r="Z105" i="11"/>
  <c r="Z120" i="11" s="1"/>
  <c r="Z78" i="11"/>
  <c r="Z103" i="11"/>
  <c r="Z119" i="11" s="1"/>
  <c r="R85" i="9"/>
  <c r="R86" i="9" s="1"/>
  <c r="R87" i="9" s="1"/>
  <c r="R102" i="9"/>
  <c r="R85" i="8"/>
  <c r="R86" i="8" s="1"/>
  <c r="R87" i="8" s="1"/>
  <c r="R102" i="8"/>
  <c r="V102" i="11"/>
  <c r="V85" i="11"/>
  <c r="V86" i="11" s="1"/>
  <c r="V87" i="11" s="1"/>
  <c r="Q102" i="9"/>
  <c r="Q85" i="9"/>
  <c r="Q86" i="9" s="1"/>
  <c r="Q87" i="9" s="1"/>
  <c r="U102" i="10"/>
  <c r="U85" i="10"/>
  <c r="U86" i="10" s="1"/>
  <c r="U87" i="10" s="1"/>
  <c r="U85" i="11"/>
  <c r="U86" i="11" s="1"/>
  <c r="U87" i="11" s="1"/>
  <c r="U102" i="11"/>
  <c r="U2" i="1"/>
  <c r="T2" i="9"/>
  <c r="T146" i="9" s="1"/>
  <c r="T2" i="8"/>
  <c r="T146" i="8" s="1"/>
  <c r="T2" i="10"/>
  <c r="T146" i="10" s="1"/>
  <c r="T2" i="11"/>
  <c r="T146" i="11" s="1"/>
  <c r="T2" i="7"/>
  <c r="T8" i="7" s="1"/>
  <c r="T2" i="2"/>
  <c r="T146" i="2" s="1"/>
  <c r="Q102" i="11"/>
  <c r="Q85" i="11"/>
  <c r="Q86" i="11" s="1"/>
  <c r="Q87" i="11" s="1"/>
  <c r="P102" i="11"/>
  <c r="P85" i="11"/>
  <c r="P86" i="11" s="1"/>
  <c r="P87" i="11" s="1"/>
  <c r="P102" i="10"/>
  <c r="P85" i="10"/>
  <c r="P86" i="10" s="1"/>
  <c r="P87" i="10" s="1"/>
  <c r="Q102" i="10"/>
  <c r="Q85" i="10"/>
  <c r="Q86" i="10" s="1"/>
  <c r="Q87" i="10" s="1"/>
  <c r="V102" i="8"/>
  <c r="V85" i="8"/>
  <c r="V86" i="8" s="1"/>
  <c r="V87" i="8" s="1"/>
  <c r="T102" i="10"/>
  <c r="T85" i="10"/>
  <c r="T86" i="10" s="1"/>
  <c r="T87" i="10" s="1"/>
  <c r="P102" i="8"/>
  <c r="P85" i="8"/>
  <c r="P86" i="8" s="1"/>
  <c r="P87" i="8" s="1"/>
  <c r="Y85" i="11"/>
  <c r="Y86" i="11" s="1"/>
  <c r="Y87" i="11" s="1"/>
  <c r="Y102" i="11"/>
  <c r="Y85" i="10"/>
  <c r="Y86" i="10" s="1"/>
  <c r="Y87" i="10" s="1"/>
  <c r="Y102" i="10"/>
  <c r="Y85" i="8"/>
  <c r="Y86" i="8" s="1"/>
  <c r="Y87" i="8" s="1"/>
  <c r="Y102" i="8"/>
  <c r="Y85" i="9"/>
  <c r="Y86" i="9" s="1"/>
  <c r="Y87" i="9" s="1"/>
  <c r="Y102" i="9"/>
  <c r="Y95" i="11"/>
  <c r="Y96" i="11" s="1"/>
  <c r="Y95" i="8"/>
  <c r="Y96" i="8" s="1"/>
  <c r="Y95" i="10"/>
  <c r="Y96" i="10" s="1"/>
  <c r="Y92" i="9"/>
  <c r="Y93" i="9" s="1"/>
  <c r="W92" i="8"/>
  <c r="W93" i="8" s="1"/>
  <c r="Y92" i="8"/>
  <c r="Y93" i="8" s="1"/>
  <c r="Y91" i="2"/>
  <c r="Y89" i="10"/>
  <c r="Y90" i="10" s="1"/>
  <c r="Y89" i="11"/>
  <c r="Y90" i="11" s="1"/>
  <c r="Y89" i="9"/>
  <c r="Y90" i="9" s="1"/>
  <c r="Y86" i="2"/>
  <c r="Y87" i="2" s="1"/>
  <c r="Y102" i="2" s="1"/>
  <c r="O93" i="2"/>
  <c r="O120" i="2" s="1"/>
  <c r="K130" i="1"/>
  <c r="K131" i="1" s="1"/>
  <c r="Z94" i="10"/>
  <c r="Z95" i="10" s="1"/>
  <c r="Z96" i="10" s="1"/>
  <c r="Z91" i="10"/>
  <c r="Z92" i="10" s="1"/>
  <c r="Z93" i="10" s="1"/>
  <c r="Z91" i="11"/>
  <c r="Z92" i="11" s="1"/>
  <c r="Z93" i="11" s="1"/>
  <c r="Z97" i="11"/>
  <c r="Z98" i="11" s="1"/>
  <c r="Z99" i="11" s="1"/>
  <c r="Z88" i="11"/>
  <c r="Z89" i="11" s="1"/>
  <c r="Z90" i="11" s="1"/>
  <c r="Z88" i="2"/>
  <c r="Z97" i="2"/>
  <c r="Z98" i="2" s="1"/>
  <c r="Z99" i="2" s="1"/>
  <c r="Z94" i="2"/>
  <c r="Z97" i="8"/>
  <c r="Z98" i="8" s="1"/>
  <c r="Z99" i="8" s="1"/>
  <c r="Z91" i="8"/>
  <c r="Z92" i="8" s="1"/>
  <c r="Z93" i="8" s="1"/>
  <c r="Z94" i="9"/>
  <c r="Z88" i="9"/>
  <c r="Z89" i="9" s="1"/>
  <c r="Z90" i="9" s="1"/>
  <c r="Z91" i="9"/>
  <c r="Z92" i="9" s="1"/>
  <c r="Z93" i="9" s="1"/>
  <c r="Z97" i="9"/>
  <c r="Z98" i="9" s="1"/>
  <c r="Z99" i="9" s="1"/>
  <c r="O37" i="11"/>
  <c r="U17" i="11"/>
  <c r="O51" i="11"/>
  <c r="O37" i="10"/>
  <c r="U27" i="8"/>
  <c r="O50" i="8"/>
  <c r="O51" i="8"/>
  <c r="U17" i="8"/>
  <c r="U37" i="8"/>
  <c r="O49" i="8"/>
  <c r="W119" i="2"/>
  <c r="R119" i="2"/>
  <c r="S119" i="2"/>
  <c r="U17" i="2"/>
  <c r="O51" i="2"/>
  <c r="Q102" i="2"/>
  <c r="T120" i="2"/>
  <c r="P120" i="2"/>
  <c r="W120" i="2"/>
  <c r="J130" i="1"/>
  <c r="V16" i="1"/>
  <c r="V2" i="1" l="1"/>
  <c r="U2" i="10"/>
  <c r="U146" i="10" s="1"/>
  <c r="U2" i="9"/>
  <c r="U146" i="9" s="1"/>
  <c r="U2" i="11"/>
  <c r="U146" i="11" s="1"/>
  <c r="U2" i="8"/>
  <c r="U146" i="8" s="1"/>
  <c r="U2" i="7"/>
  <c r="U8" i="7" s="1"/>
  <c r="U2" i="2"/>
  <c r="U146" i="2" s="1"/>
  <c r="Z85" i="11"/>
  <c r="Z86" i="11" s="1"/>
  <c r="Z87" i="11" s="1"/>
  <c r="Z102" i="11"/>
  <c r="Z85" i="10"/>
  <c r="Z86" i="10" s="1"/>
  <c r="Z87" i="10" s="1"/>
  <c r="Z102" i="10"/>
  <c r="Z85" i="9"/>
  <c r="Z86" i="9" s="1"/>
  <c r="Z87" i="9" s="1"/>
  <c r="Z102" i="9"/>
  <c r="Z85" i="8"/>
  <c r="Z86" i="8" s="1"/>
  <c r="Z87" i="8" s="1"/>
  <c r="Z102" i="8"/>
  <c r="O37" i="2"/>
  <c r="U37" i="2" s="1"/>
  <c r="O119" i="2"/>
  <c r="O27" i="2"/>
  <c r="O50" i="2" s="1"/>
  <c r="Z95" i="9"/>
  <c r="Z96" i="9" s="1"/>
  <c r="Z95" i="2"/>
  <c r="Z96" i="2" s="1"/>
  <c r="Z95" i="11"/>
  <c r="Z96" i="11" s="1"/>
  <c r="Y92" i="2"/>
  <c r="Y93" i="2" s="1"/>
  <c r="Y120" i="2" s="1"/>
  <c r="Z91" i="2"/>
  <c r="Z89" i="2"/>
  <c r="Z90" i="2" s="1"/>
  <c r="Z85" i="2"/>
  <c r="U37" i="11"/>
  <c r="O49" i="11"/>
  <c r="U27" i="11"/>
  <c r="O50" i="11"/>
  <c r="U27" i="10"/>
  <c r="O50" i="10"/>
  <c r="U37" i="10"/>
  <c r="O49" i="10"/>
  <c r="Y119" i="2"/>
  <c r="Q119" i="2"/>
  <c r="X119" i="2"/>
  <c r="K132" i="1"/>
  <c r="W16" i="1"/>
  <c r="X16" i="1" s="1"/>
  <c r="Y16" i="1" s="1"/>
  <c r="Z16" i="1" s="1"/>
  <c r="K146" i="1" s="1"/>
  <c r="K140" i="1"/>
  <c r="T22" i="1"/>
  <c r="J131" i="1"/>
  <c r="K92" i="1"/>
  <c r="K93" i="1" l="1"/>
  <c r="P22" i="1"/>
  <c r="P135" i="9" s="1"/>
  <c r="P136" i="9" s="1"/>
  <c r="O49" i="2"/>
  <c r="K143" i="1"/>
  <c r="J157" i="1" s="1"/>
  <c r="K27" i="1"/>
  <c r="K94" i="1"/>
  <c r="K139" i="1"/>
  <c r="K153" i="1" s="1"/>
  <c r="X22" i="1"/>
  <c r="X135" i="8" s="1"/>
  <c r="X136" i="8" s="1"/>
  <c r="K144" i="1"/>
  <c r="K95" i="1"/>
  <c r="W2" i="1"/>
  <c r="V2" i="11"/>
  <c r="V146" i="11" s="1"/>
  <c r="V2" i="8"/>
  <c r="V146" i="8" s="1"/>
  <c r="V2" i="9"/>
  <c r="V146" i="9" s="1"/>
  <c r="V2" i="10"/>
  <c r="V146" i="10" s="1"/>
  <c r="V2" i="2"/>
  <c r="V146" i="2" s="1"/>
  <c r="V2" i="7"/>
  <c r="V8" i="7" s="1"/>
  <c r="U27" i="2"/>
  <c r="P135" i="11"/>
  <c r="P136" i="11" s="1"/>
  <c r="P135" i="10"/>
  <c r="P136" i="10" s="1"/>
  <c r="P135" i="8"/>
  <c r="P136" i="8" s="1"/>
  <c r="Z92" i="2"/>
  <c r="Z93" i="2" s="1"/>
  <c r="Z120" i="2" s="1"/>
  <c r="Z86" i="2"/>
  <c r="Z87" i="2" s="1"/>
  <c r="Z102" i="2" s="1"/>
  <c r="J139" i="8"/>
  <c r="J139" i="11"/>
  <c r="J139" i="10"/>
  <c r="J139" i="9"/>
  <c r="T135" i="9"/>
  <c r="T136" i="9" s="1"/>
  <c r="T135" i="8"/>
  <c r="T136" i="8" s="1"/>
  <c r="T135" i="10"/>
  <c r="T136" i="10" s="1"/>
  <c r="T135" i="11"/>
  <c r="T136" i="11" s="1"/>
  <c r="Z119" i="2"/>
  <c r="T135" i="2"/>
  <c r="T136" i="2" s="1"/>
  <c r="P135" i="2"/>
  <c r="P136" i="2" s="1"/>
  <c r="J139" i="2"/>
  <c r="K160" i="1"/>
  <c r="J160" i="1"/>
  <c r="J132" i="1"/>
  <c r="U22" i="1"/>
  <c r="J27" i="1"/>
  <c r="K138" i="1"/>
  <c r="K141" i="1"/>
  <c r="J158" i="1"/>
  <c r="K158" i="1"/>
  <c r="J154" i="1"/>
  <c r="K154" i="1"/>
  <c r="K142" i="1"/>
  <c r="K96" i="1"/>
  <c r="J107" i="1" s="1"/>
  <c r="K145" i="1"/>
  <c r="K136" i="1"/>
  <c r="K135" i="1"/>
  <c r="K97" i="1"/>
  <c r="K137" i="1"/>
  <c r="Q22" i="1"/>
  <c r="Z22" i="1"/>
  <c r="S22" i="1"/>
  <c r="V22" i="1"/>
  <c r="O22" i="1"/>
  <c r="Y22" i="1"/>
  <c r="W22" i="1"/>
  <c r="R22" i="1"/>
  <c r="S41" i="11" l="1"/>
  <c r="S41" i="9"/>
  <c r="S41" i="2"/>
  <c r="S41" i="8"/>
  <c r="S41" i="10"/>
  <c r="K157" i="1"/>
  <c r="X135" i="9"/>
  <c r="X136" i="9" s="1"/>
  <c r="X135" i="10"/>
  <c r="X136" i="10" s="1"/>
  <c r="X135" i="11"/>
  <c r="X136" i="11" s="1"/>
  <c r="J153" i="1"/>
  <c r="X135" i="2"/>
  <c r="X136" i="2" s="1"/>
  <c r="X2" i="1"/>
  <c r="W2" i="11"/>
  <c r="W146" i="11" s="1"/>
  <c r="W2" i="9"/>
  <c r="W146" i="9" s="1"/>
  <c r="W2" i="8"/>
  <c r="W146" i="8" s="1"/>
  <c r="W2" i="10"/>
  <c r="W146" i="10" s="1"/>
  <c r="W2" i="2"/>
  <c r="W146" i="2" s="1"/>
  <c r="W2" i="7"/>
  <c r="W8" i="7" s="1"/>
  <c r="W135" i="9"/>
  <c r="W136" i="9" s="1"/>
  <c r="W135" i="8"/>
  <c r="W136" i="8" s="1"/>
  <c r="W135" i="11"/>
  <c r="W136" i="11" s="1"/>
  <c r="W135" i="10"/>
  <c r="W136" i="10" s="1"/>
  <c r="Q42" i="8"/>
  <c r="Q32" i="9"/>
  <c r="Q32" i="11"/>
  <c r="Q42" i="11"/>
  <c r="Q42" i="10"/>
  <c r="Q32" i="10"/>
  <c r="Q42" i="9"/>
  <c r="Q32" i="8"/>
  <c r="Y135" i="10"/>
  <c r="Y136" i="10" s="1"/>
  <c r="Y135" i="9"/>
  <c r="Y136" i="9" s="1"/>
  <c r="Y135" i="8"/>
  <c r="Y136" i="8" s="1"/>
  <c r="Y135" i="11"/>
  <c r="Y136" i="11" s="1"/>
  <c r="Z135" i="10"/>
  <c r="Z136" i="10" s="1"/>
  <c r="Z137" i="10" s="1"/>
  <c r="Z135" i="9"/>
  <c r="Z136" i="9" s="1"/>
  <c r="Z137" i="9" s="1"/>
  <c r="Z135" i="8"/>
  <c r="Z136" i="8" s="1"/>
  <c r="Z137" i="8" s="1"/>
  <c r="Z135" i="11"/>
  <c r="Z136" i="11" s="1"/>
  <c r="Z137" i="11" s="1"/>
  <c r="O135" i="10"/>
  <c r="O136" i="10" s="1"/>
  <c r="O135" i="9"/>
  <c r="O136" i="9" s="1"/>
  <c r="O135" i="8"/>
  <c r="O136" i="8" s="1"/>
  <c r="O135" i="11"/>
  <c r="O136" i="11" s="1"/>
  <c r="V135" i="11"/>
  <c r="V136" i="11" s="1"/>
  <c r="V135" i="10"/>
  <c r="V136" i="10" s="1"/>
  <c r="V135" i="9"/>
  <c r="V136" i="9" s="1"/>
  <c r="V135" i="8"/>
  <c r="V136" i="8" s="1"/>
  <c r="U135" i="9"/>
  <c r="U136" i="9" s="1"/>
  <c r="U135" i="8"/>
  <c r="U136" i="8" s="1"/>
  <c r="U135" i="10"/>
  <c r="U136" i="10" s="1"/>
  <c r="U135" i="11"/>
  <c r="U136" i="11" s="1"/>
  <c r="V127" i="11"/>
  <c r="U127" i="11"/>
  <c r="P127" i="11"/>
  <c r="V127" i="10"/>
  <c r="U127" i="10"/>
  <c r="P127" i="10"/>
  <c r="Z127" i="9"/>
  <c r="Y127" i="9"/>
  <c r="T127" i="9"/>
  <c r="O127" i="9"/>
  <c r="X127" i="8"/>
  <c r="S127" i="8"/>
  <c r="Q127" i="10"/>
  <c r="U127" i="9"/>
  <c r="Y127" i="8"/>
  <c r="O127" i="8"/>
  <c r="R127" i="11"/>
  <c r="Q127" i="11"/>
  <c r="W127" i="11"/>
  <c r="R127" i="10"/>
  <c r="X127" i="11"/>
  <c r="S127" i="11"/>
  <c r="X127" i="10"/>
  <c r="S127" i="10"/>
  <c r="R127" i="9"/>
  <c r="Q127" i="9"/>
  <c r="W127" i="9"/>
  <c r="V127" i="8"/>
  <c r="U127" i="8"/>
  <c r="P127" i="8"/>
  <c r="P127" i="9"/>
  <c r="Z127" i="8"/>
  <c r="Z127" i="11"/>
  <c r="Y127" i="11"/>
  <c r="T127" i="11"/>
  <c r="O127" i="11"/>
  <c r="Z127" i="10"/>
  <c r="Y127" i="10"/>
  <c r="T127" i="10"/>
  <c r="O127" i="10"/>
  <c r="X127" i="9"/>
  <c r="S127" i="9"/>
  <c r="R127" i="8"/>
  <c r="Q127" i="8"/>
  <c r="W127" i="8"/>
  <c r="W127" i="10"/>
  <c r="V127" i="9"/>
  <c r="T127" i="8"/>
  <c r="R135" i="11"/>
  <c r="R136" i="11" s="1"/>
  <c r="R135" i="8"/>
  <c r="R136" i="8" s="1"/>
  <c r="R135" i="10"/>
  <c r="R136" i="10" s="1"/>
  <c r="R135" i="9"/>
  <c r="R136" i="9" s="1"/>
  <c r="S135" i="11"/>
  <c r="S136" i="11" s="1"/>
  <c r="S135" i="8"/>
  <c r="S136" i="8" s="1"/>
  <c r="S135" i="10"/>
  <c r="S136" i="10" s="1"/>
  <c r="S135" i="9"/>
  <c r="S136" i="9" s="1"/>
  <c r="Q135" i="8"/>
  <c r="Q135" i="9"/>
  <c r="Q135" i="10"/>
  <c r="Q135" i="11"/>
  <c r="Q44" i="9"/>
  <c r="Q34" i="9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U135" i="2"/>
  <c r="U136" i="2" s="1"/>
  <c r="Q42" i="2"/>
  <c r="Q32" i="2"/>
  <c r="K151" i="1"/>
  <c r="J151" i="1"/>
  <c r="K159" i="1"/>
  <c r="J159" i="1"/>
  <c r="J106" i="1"/>
  <c r="K149" i="1"/>
  <c r="J149" i="1"/>
  <c r="K156" i="1"/>
  <c r="J156" i="1"/>
  <c r="K106" i="1"/>
  <c r="K105" i="1"/>
  <c r="K107" i="1"/>
  <c r="J22" i="1"/>
  <c r="K150" i="1"/>
  <c r="J150" i="1"/>
  <c r="K155" i="1"/>
  <c r="J155" i="1"/>
  <c r="K152" i="1"/>
  <c r="J152" i="1"/>
  <c r="S31" i="8" l="1"/>
  <c r="S31" i="11"/>
  <c r="S31" i="9"/>
  <c r="S31" i="2"/>
  <c r="S31" i="10"/>
  <c r="T137" i="11"/>
  <c r="X137" i="9"/>
  <c r="V137" i="11"/>
  <c r="V137" i="9"/>
  <c r="W137" i="9"/>
  <c r="X137" i="8"/>
  <c r="Y2" i="1"/>
  <c r="X2" i="9"/>
  <c r="X146" i="9" s="1"/>
  <c r="X2" i="8"/>
  <c r="X146" i="8" s="1"/>
  <c r="X2" i="10"/>
  <c r="X146" i="10" s="1"/>
  <c r="X2" i="11"/>
  <c r="X146" i="11" s="1"/>
  <c r="X2" i="7"/>
  <c r="X8" i="7" s="1"/>
  <c r="X2" i="2"/>
  <c r="X146" i="2" s="1"/>
  <c r="S137" i="11"/>
  <c r="U137" i="8"/>
  <c r="U137" i="11"/>
  <c r="V137" i="8"/>
  <c r="X137" i="10"/>
  <c r="Y137" i="8"/>
  <c r="U42" i="9"/>
  <c r="V42" i="9"/>
  <c r="U32" i="11"/>
  <c r="V32" i="11"/>
  <c r="W137" i="11"/>
  <c r="U137" i="10"/>
  <c r="Y137" i="9"/>
  <c r="U32" i="10"/>
  <c r="V32" i="10"/>
  <c r="V32" i="9"/>
  <c r="U32" i="9"/>
  <c r="W137" i="8"/>
  <c r="Y137" i="10"/>
  <c r="V42" i="10"/>
  <c r="U42" i="10"/>
  <c r="U42" i="8"/>
  <c r="V42" i="8"/>
  <c r="S137" i="10"/>
  <c r="T137" i="9"/>
  <c r="U137" i="9"/>
  <c r="V137" i="10"/>
  <c r="Y137" i="11"/>
  <c r="U32" i="8"/>
  <c r="V32" i="8"/>
  <c r="V42" i="11"/>
  <c r="U42" i="11"/>
  <c r="W137" i="10"/>
  <c r="X137" i="11"/>
  <c r="S137" i="8"/>
  <c r="T137" i="8"/>
  <c r="S137" i="9"/>
  <c r="T137" i="10"/>
  <c r="U41" i="11"/>
  <c r="S49" i="9"/>
  <c r="S49" i="2"/>
  <c r="S49" i="10"/>
  <c r="U41" i="8"/>
  <c r="R137" i="9"/>
  <c r="V41" i="10"/>
  <c r="S49" i="11"/>
  <c r="V41" i="11"/>
  <c r="Q136" i="11"/>
  <c r="Q136" i="10"/>
  <c r="R137" i="10"/>
  <c r="Q136" i="9"/>
  <c r="R137" i="8"/>
  <c r="Q136" i="8"/>
  <c r="R137" i="11"/>
  <c r="Y137" i="2"/>
  <c r="V34" i="11"/>
  <c r="U34" i="11"/>
  <c r="V44" i="2"/>
  <c r="U44" i="2"/>
  <c r="V44" i="9"/>
  <c r="U44" i="9"/>
  <c r="V34" i="2"/>
  <c r="U34" i="2"/>
  <c r="V34" i="9"/>
  <c r="U34" i="9"/>
  <c r="V34" i="8"/>
  <c r="U34" i="8"/>
  <c r="V34" i="10"/>
  <c r="U34" i="10"/>
  <c r="V44" i="11"/>
  <c r="U44" i="11"/>
  <c r="V44" i="10"/>
  <c r="U44" i="10"/>
  <c r="V44" i="8"/>
  <c r="U44" i="8"/>
  <c r="X137" i="2"/>
  <c r="W137" i="2"/>
  <c r="J161" i="1"/>
  <c r="P137" i="2"/>
  <c r="U32" i="2"/>
  <c r="V32" i="2"/>
  <c r="U42" i="2"/>
  <c r="V42" i="2"/>
  <c r="U137" i="2"/>
  <c r="T137" i="2"/>
  <c r="Q137" i="2"/>
  <c r="V22" i="2"/>
  <c r="U22" i="2"/>
  <c r="O137" i="2"/>
  <c r="V137" i="2"/>
  <c r="R137" i="2"/>
  <c r="S137" i="2"/>
  <c r="K161" i="1"/>
  <c r="S49" i="8" l="1"/>
  <c r="U41" i="10"/>
  <c r="R30" i="10"/>
  <c r="U30" i="10" s="1"/>
  <c r="R30" i="8"/>
  <c r="U30" i="8" s="1"/>
  <c r="R30" i="11"/>
  <c r="R30" i="9"/>
  <c r="R40" i="11"/>
  <c r="R40" i="9"/>
  <c r="R40" i="8"/>
  <c r="R40" i="10"/>
  <c r="U40" i="2"/>
  <c r="R49" i="2"/>
  <c r="V40" i="2"/>
  <c r="V41" i="2"/>
  <c r="U41" i="2"/>
  <c r="Z2" i="1"/>
  <c r="Y2" i="10"/>
  <c r="Y146" i="10" s="1"/>
  <c r="Y2" i="11"/>
  <c r="Y146" i="11" s="1"/>
  <c r="Y2" i="9"/>
  <c r="Y146" i="9" s="1"/>
  <c r="Y2" i="8"/>
  <c r="Y146" i="8" s="1"/>
  <c r="Y2" i="7"/>
  <c r="Y8" i="7" s="1"/>
  <c r="Y2" i="2"/>
  <c r="Y146" i="2" s="1"/>
  <c r="V41" i="9"/>
  <c r="U41" i="9"/>
  <c r="V41" i="8"/>
  <c r="U31" i="9"/>
  <c r="S50" i="9"/>
  <c r="V31" i="9"/>
  <c r="U31" i="11"/>
  <c r="S50" i="11"/>
  <c r="V31" i="11"/>
  <c r="U31" i="10"/>
  <c r="S50" i="10"/>
  <c r="V31" i="10"/>
  <c r="U31" i="8"/>
  <c r="V31" i="8"/>
  <c r="S50" i="8"/>
  <c r="V20" i="10"/>
  <c r="U20" i="10"/>
  <c r="R51" i="10"/>
  <c r="R51" i="9"/>
  <c r="U20" i="9"/>
  <c r="V20" i="9"/>
  <c r="P137" i="10"/>
  <c r="Q137" i="10"/>
  <c r="O137" i="10"/>
  <c r="R51" i="11"/>
  <c r="U20" i="11"/>
  <c r="V20" i="11"/>
  <c r="V30" i="10"/>
  <c r="V20" i="8"/>
  <c r="U20" i="8"/>
  <c r="R51" i="8"/>
  <c r="Q137" i="9"/>
  <c r="P137" i="9"/>
  <c r="O137" i="9"/>
  <c r="Q137" i="8"/>
  <c r="P137" i="8"/>
  <c r="O137" i="8"/>
  <c r="R50" i="9"/>
  <c r="V30" i="9"/>
  <c r="U30" i="9"/>
  <c r="R50" i="11"/>
  <c r="U30" i="11"/>
  <c r="V30" i="11"/>
  <c r="P137" i="11"/>
  <c r="Q137" i="11"/>
  <c r="O137" i="11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J138" i="2"/>
  <c r="J140" i="2" s="1"/>
  <c r="R50" i="10" l="1"/>
  <c r="R50" i="8"/>
  <c r="V30" i="8"/>
  <c r="R49" i="10"/>
  <c r="V40" i="10"/>
  <c r="U40" i="10"/>
  <c r="U40" i="8"/>
  <c r="R49" i="8"/>
  <c r="V40" i="8"/>
  <c r="R49" i="9"/>
  <c r="V40" i="9"/>
  <c r="U40" i="9"/>
  <c r="U40" i="11"/>
  <c r="R49" i="11"/>
  <c r="V40" i="11"/>
  <c r="Z2" i="11"/>
  <c r="Z146" i="11" s="1"/>
  <c r="Z2" i="10"/>
  <c r="Z146" i="10" s="1"/>
  <c r="Z2" i="8"/>
  <c r="Z146" i="8" s="1"/>
  <c r="Z2" i="9"/>
  <c r="Z146" i="9" s="1"/>
  <c r="Z2" i="2"/>
  <c r="Z146" i="2" s="1"/>
  <c r="Z2" i="7"/>
  <c r="Z8" i="7" s="1"/>
  <c r="J138" i="11"/>
  <c r="J140" i="11" s="1"/>
  <c r="T148" i="11" s="1"/>
  <c r="T18" i="7" s="1"/>
  <c r="J138" i="9"/>
  <c r="J140" i="9" s="1"/>
  <c r="Y148" i="9" s="1"/>
  <c r="Y14" i="7" s="1"/>
  <c r="J138" i="8"/>
  <c r="J140" i="8" s="1"/>
  <c r="R148" i="8" s="1"/>
  <c r="R12" i="7" s="1"/>
  <c r="J138" i="10"/>
  <c r="J140" i="10" s="1"/>
  <c r="U39" i="2"/>
  <c r="U49" i="2" s="1"/>
  <c r="T49" i="2" s="1"/>
  <c r="V39" i="2"/>
  <c r="V49" i="2" s="1"/>
  <c r="Z124" i="2" s="1"/>
  <c r="V19" i="8"/>
  <c r="V51" i="8" s="1"/>
  <c r="R126" i="8" s="1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V49" i="10" l="1"/>
  <c r="W148" i="9"/>
  <c r="W14" i="7" s="1"/>
  <c r="X148" i="11"/>
  <c r="X18" i="7" s="1"/>
  <c r="Y148" i="11"/>
  <c r="Y18" i="7" s="1"/>
  <c r="X148" i="9"/>
  <c r="X14" i="7" s="1"/>
  <c r="Z148" i="11"/>
  <c r="Z18" i="7" s="1"/>
  <c r="Z148" i="9"/>
  <c r="Z14" i="7" s="1"/>
  <c r="R148" i="9"/>
  <c r="R14" i="7" s="1"/>
  <c r="S148" i="8"/>
  <c r="S12" i="7" s="1"/>
  <c r="Q148" i="9"/>
  <c r="Q14" i="7" s="1"/>
  <c r="W148" i="11"/>
  <c r="W18" i="7" s="1"/>
  <c r="U148" i="11"/>
  <c r="U18" i="7" s="1"/>
  <c r="Q148" i="11"/>
  <c r="Q18" i="7" s="1"/>
  <c r="O148" i="11"/>
  <c r="O18" i="7" s="1"/>
  <c r="P148" i="9"/>
  <c r="P14" i="7" s="1"/>
  <c r="V148" i="9"/>
  <c r="V14" i="7" s="1"/>
  <c r="O148" i="9"/>
  <c r="O14" i="7" s="1"/>
  <c r="S148" i="11"/>
  <c r="S18" i="7" s="1"/>
  <c r="R148" i="11"/>
  <c r="R18" i="7" s="1"/>
  <c r="V148" i="11"/>
  <c r="V18" i="7" s="1"/>
  <c r="T148" i="9"/>
  <c r="T14" i="7" s="1"/>
  <c r="S148" i="9"/>
  <c r="S14" i="7" s="1"/>
  <c r="U148" i="9"/>
  <c r="U14" i="7" s="1"/>
  <c r="P148" i="11"/>
  <c r="P18" i="7" s="1"/>
  <c r="O148" i="8"/>
  <c r="O12" i="7" s="1"/>
  <c r="U148" i="8"/>
  <c r="U12" i="7" s="1"/>
  <c r="V148" i="8"/>
  <c r="V12" i="7" s="1"/>
  <c r="Q148" i="8"/>
  <c r="Q12" i="7" s="1"/>
  <c r="Y148" i="8"/>
  <c r="Y12" i="7" s="1"/>
  <c r="P148" i="8"/>
  <c r="P12" i="7" s="1"/>
  <c r="X148" i="8"/>
  <c r="X12" i="7" s="1"/>
  <c r="W148" i="8"/>
  <c r="W12" i="7" s="1"/>
  <c r="T148" i="8"/>
  <c r="T12" i="7" s="1"/>
  <c r="Z148" i="8"/>
  <c r="Z12" i="7" s="1"/>
  <c r="Z148" i="10"/>
  <c r="Z16" i="7" s="1"/>
  <c r="U148" i="10"/>
  <c r="U16" i="7" s="1"/>
  <c r="P148" i="10"/>
  <c r="P16" i="7" s="1"/>
  <c r="V148" i="10"/>
  <c r="V16" i="7" s="1"/>
  <c r="Q148" i="10"/>
  <c r="Q16" i="7" s="1"/>
  <c r="W148" i="10"/>
  <c r="W16" i="7" s="1"/>
  <c r="S148" i="10"/>
  <c r="S16" i="7" s="1"/>
  <c r="R148" i="10"/>
  <c r="R16" i="7" s="1"/>
  <c r="X148" i="10"/>
  <c r="X16" i="7" s="1"/>
  <c r="Y148" i="10"/>
  <c r="Y16" i="7" s="1"/>
  <c r="T148" i="10"/>
  <c r="T16" i="7" s="1"/>
  <c r="O148" i="10"/>
  <c r="O16" i="7" s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Q126" i="2"/>
  <c r="U126" i="2"/>
  <c r="R126" i="2"/>
  <c r="U128" i="11" l="1"/>
  <c r="U147" i="11" s="1"/>
  <c r="U17" i="7" s="1"/>
  <c r="Z128" i="2"/>
  <c r="Z147" i="2" s="1"/>
  <c r="Z9" i="7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U149" i="11" l="1"/>
  <c r="Z149" i="2"/>
  <c r="R149" i="9"/>
  <c r="P149" i="9"/>
  <c r="R149" i="2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<sst xmlns="http://schemas.openxmlformats.org/spreadsheetml/2006/main" count="676" uniqueCount="201">
  <si>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</si>
  <si>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</si>
  <si>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</si>
  <si>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</si>
  <si>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</si>
  <si>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</si>
  <si>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</si>
  <si>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</si>
  <si>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</si>
  <si>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</si>
  <si>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</si>
  <si>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</si>
  <si>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</si>
  <si>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</si>
  <si>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</si>
  <si>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</si>
  <si>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</si>
  <si>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</si>
  <si>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</si>
  <si>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</si>
  <si>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</si>
  <si>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</si>
  <si>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</si>
  <si>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</si>
  <si>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</si>
  <si>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</si>
  <si>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</si>
  <si>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</si>
  <si>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</si>
  <si>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</si>
  <si>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</si>
  <si>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</si>
  <si>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</si>
  <si>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</si>
  <si>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</si>
  <si>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</si>
  <si>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</si>
  <si>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</si>
  <si>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</si>
  <si>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</si>
  <si>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</si>
  <si>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</si>
  <si>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</si>
  <si>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</si>
  <si>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$/MWh ($2018)</t>
  </si>
  <si>
    <t>Load Duration</t>
  </si>
  <si>
    <t>Duration Weighted $/MWh ($2021)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</si>
  <si>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</si>
  <si>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</si>
  <si>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</si>
  <si>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</si>
  <si>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</si>
  <si>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</si>
  <si>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</si>
  <si>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</si>
  <si>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</si>
  <si>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</si>
  <si>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</si>
  <si>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</si>
  <si>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</si>
  <si>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</si>
  <si>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</si>
  <si>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</si>
  <si>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</si>
  <si>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</si>
  <si>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</si>
  <si>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</si>
  <si>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</si>
  <si>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</si>
  <si>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</si>
  <si>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</si>
  <si>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</si>
  <si>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</si>
  <si>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</si>
  <si>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</si>
  <si>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</si>
  <si>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</si>
  <si>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</si>
  <si>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</si>
  <si>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</si>
  <si>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</si>
  <si>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</si>
  <si>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</si>
  <si>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</si>
  <si>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</si>
  <si>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</si>
  <si>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</si>
  <si>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</si>
  <si>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</si>
  <si>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</si>
  <si>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</si>
  <si>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</si>
  <si>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</si>
  <si>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</si>
  <si>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</si>
  <si>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</si>
  <si>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</si>
  <si>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</si>
  <si>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</si>
  <si>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</si>
  <si>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</si>
  <si>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</si>
  <si>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</si>
  <si>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</si>
  <si>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</si>
  <si>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</si>
  <si>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</si>
  <si>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</si>
  <si>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</si>
  <si>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</si>
  <si>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</si>
  <si>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</si>
  <si>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</si>
  <si>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</si>
  <si>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</si>
  <si>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</si>
  <si>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</si>
  <si>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</si>
  <si>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</si>
  <si>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</si>
  <si>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</si>
  <si>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</si>
  <si>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</si>
  <si>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</si>
  <si>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</si>
  <si>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</si>
  <si>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</si>
  <si>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</si>
  <si>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</si>
  <si>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</si>
  <si>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</si>
  <si>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</si>
  <si>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</si>
  <si>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</si>
  <si>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</si>
  <si>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</si>
  <si>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</si>
  <si>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</si>
  <si>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</si>
  <si>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</si>
  <si>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</si>
  <si>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Selected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</si>
  <si>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</si>
  <si>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</si>
  <si>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</si>
  <si>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</si>
  <si>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</si>
  <si>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</si>
  <si>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</si>
  <si>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</si>
  <si>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</si>
  <si>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</si>
  <si>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</si>
  <si>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</si>
  <si>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</si>
  <si>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</si>
  <si>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</si>
  <si>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</si>
  <si>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</si>
  <si>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</si>
  <si>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</si>
  <si>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</si>
  <si>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</si>
  <si>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</si>
  <si>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</si>
  <si>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</si>
  <si>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</si>
  <si>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</si>
  <si>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</si>
  <si>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</si>
  <si>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</si>
  <si>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</si>
  <si>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</si>
  <si>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</si>
  <si>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</si>
  <si>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</si>
  <si>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</si>
  <si>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</si>
  <si>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</si>
  <si>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</si>
  <si>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</si>
  <si>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</si>
  <si>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</si>
  <si>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</si>
  <si>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</si>
  <si>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</si>
  <si>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</si>
  <si>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</si>
  <si>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</si>
  <si>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</si>
  <si>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</si>
  <si>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</si>
  <si>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Days to connect generators, plus 1 day lead time</t>
  </si>
  <si>
    <t>Adjustment</t>
  </si>
  <si>
    <t>Sections lost</t>
  </si>
  <si>
    <t>Total Sections</t>
  </si>
  <si>
    <t>J18 TK Circuit Breaker Risk Monetisation Model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</si>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</sst>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5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00B050"/>
      <name val="Arial"/>
      <family val="2"/>
    </font>
    <font>
      <b/>
      <i/>
      <sz val="10"/>
      <color theme="1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45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3" fillId="0" borderId="0" xfId="0" applyFont="1" applyProtection="1">
      <protection locked="0"/>
    </xf>
    <xf numFmtId="166" fontId="13" fillId="0" borderId="6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0" fontId="8" fillId="5" borderId="6" xfId="0" applyFont="1" applyFill="1" applyBorder="1" applyProtection="1"/>
    <xf numFmtId="0" fontId="8" fillId="5" borderId="12" xfId="0" applyFont="1" applyFill="1" applyBorder="1" applyProtection="1"/>
    <xf numFmtId="0" fontId="8" fillId="5" borderId="5" xfId="0" applyFont="1" applyFill="1" applyBorder="1" applyProtection="1"/>
    <xf numFmtId="0" fontId="8" fillId="5" borderId="13" xfId="0" applyFont="1" applyFill="1" applyBorder="1" applyProtection="1"/>
    <xf numFmtId="166" fontId="8" fillId="5" borderId="11" xfId="0" applyNumberFormat="1" applyFont="1" applyFill="1" applyBorder="1" applyProtection="1">
      <protection locked="0"/>
    </xf>
    <xf numFmtId="166" fontId="8" fillId="5" borderId="6" xfId="0" applyNumberFormat="1" applyFont="1" applyFill="1" applyBorder="1" applyProtection="1">
      <protection locked="0"/>
    </xf>
    <xf numFmtId="166" fontId="8" fillId="5" borderId="12" xfId="0" applyNumberFormat="1" applyFont="1" applyFill="1" applyBorder="1" applyProtection="1">
      <protection locked="0"/>
    </xf>
    <xf numFmtId="165" fontId="8" fillId="5" borderId="14" xfId="0" applyNumberFormat="1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Protection="1"/>
    <xf numFmtId="0" fontId="8" fillId="5" borderId="2" xfId="0" applyFont="1" applyFill="1" applyBorder="1" applyProtection="1"/>
    <xf numFmtId="0" fontId="8" fillId="5" borderId="3" xfId="0" applyFont="1" applyFill="1" applyBorder="1" applyProtection="1"/>
    <xf numFmtId="0" fontId="8" fillId="5" borderId="4" xfId="0" applyFont="1" applyFill="1" applyBorder="1" applyProtection="1"/>
    <xf numFmtId="166" fontId="8" fillId="5" borderId="1" xfId="0" applyNumberFormat="1" applyFont="1" applyFill="1" applyBorder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  <xf numFmtId="0" fontId="8" fillId="5" borderId="20" xfId="0" applyFont="1" applyFill="1" applyBorder="1" applyProtection="1"/>
    <xf numFmtId="0" fontId="8" fillId="5" borderId="21" xfId="0" applyFont="1" applyFill="1" applyBorder="1" applyProtection="1"/>
    <xf numFmtId="0" fontId="8" fillId="5" borderId="22" xfId="0" applyFont="1" applyFill="1" applyBorder="1" applyProtection="1"/>
    <xf numFmtId="0" fontId="8" fillId="5" borderId="23" xfId="0" applyFont="1" applyFill="1" applyBorder="1" applyProtection="1"/>
    <xf numFmtId="166" fontId="8" fillId="5" borderId="20" xfId="0" applyNumberFormat="1" applyFont="1" applyFill="1" applyBorder="1" applyProtection="1">
      <protection locked="0"/>
    </xf>
    <xf numFmtId="166" fontId="8" fillId="5" borderId="21" xfId="0" applyNumberFormat="1" applyFont="1" applyFill="1" applyBorder="1" applyProtection="1">
      <protection locked="0"/>
    </xf>
    <xf numFmtId="165" fontId="8" fillId="5" borderId="24" xfId="0" applyNumberFormat="1" applyFont="1" applyFill="1" applyBorder="1" applyAlignment="1" applyProtection="1">
      <alignment horizontal="center"/>
      <protection locked="0"/>
    </xf>
    <xf numFmtId="0" fontId="8" fillId="5" borderId="3" xfId="0" applyFont="1" applyFill="1" applyBorder="1"/>
    <xf numFmtId="0" fontId="8" fillId="5" borderId="4" xfId="0" applyFont="1" applyFill="1" applyBorder="1"/>
    <xf numFmtId="0" fontId="8" fillId="0" borderId="5" xfId="0" applyFont="1" applyFill="1" applyBorder="1"/>
    <xf numFmtId="0" fontId="8" fillId="5" borderId="2" xfId="0" applyFont="1" applyFill="1" applyBorder="1"/>
    <xf numFmtId="166" fontId="12" fillId="0" borderId="1" xfId="0" applyNumberFormat="1" applyFont="1" applyFill="1" applyBorder="1" applyProtection="1">
      <protection locked="0"/>
    </xf>
    <xf numFmtId="0" fontId="8" fillId="0" borderId="0" xfId="0" applyFont="1" applyAlignment="1">
      <alignment horizontal="right"/>
    </xf>
    <xf numFmtId="0" fontId="8" fillId="0" borderId="0" xfId="0" applyFont="1" applyFill="1"/>
    <xf numFmtId="166" fontId="14" fillId="6" borderId="1" xfId="0" applyNumberFormat="1" applyFont="1" applyFill="1" applyBorder="1"/>
    <xf numFmtId="166" fontId="13" fillId="0" borderId="6" xfId="0" applyNumberFormat="1" applyFont="1" applyFill="1" applyBorder="1" applyProtection="1">
      <protection locked="0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102699.99251433894</c:v>
                </c:pt>
                <c:pt idx="1">
                  <c:v>109441.69244161625</c:v>
                </c:pt>
                <c:pt idx="2">
                  <c:v>118971.92313098411</c:v>
                </c:pt>
                <c:pt idx="3">
                  <c:v>131451.3036922022</c:v>
                </c:pt>
                <c:pt idx="4">
                  <c:v>142468.92477351433</c:v>
                </c:pt>
                <c:pt idx="5">
                  <c:v>155135.88658221613</c:v>
                </c:pt>
                <c:pt idx="6">
                  <c:v>170233.69416262448</c:v>
                </c:pt>
                <c:pt idx="7">
                  <c:v>183389.15571204905</c:v>
                </c:pt>
                <c:pt idx="8">
                  <c:v>197706.30658236245</c:v>
                </c:pt>
                <c:pt idx="9">
                  <c:v>213292.5299556884</c:v>
                </c:pt>
                <c:pt idx="10">
                  <c:v>230265.41187315149</c:v>
                </c:pt>
                <c:pt idx="11">
                  <c:v>248753.72757985926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36D-467F-AF16-84058D8BB988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69876.229920317142</c:v>
                </c:pt>
                <c:pt idx="1">
                  <c:v>69876.229920317142</c:v>
                </c:pt>
                <c:pt idx="2">
                  <c:v>69876.229920317142</c:v>
                </c:pt>
                <c:pt idx="3">
                  <c:v>69876.229920317142</c:v>
                </c:pt>
                <c:pt idx="4">
                  <c:v>69876.229920317142</c:v>
                </c:pt>
                <c:pt idx="5">
                  <c:v>69876.229920317142</c:v>
                </c:pt>
                <c:pt idx="6">
                  <c:v>69876.229920317142</c:v>
                </c:pt>
                <c:pt idx="7">
                  <c:v>69876.229920317142</c:v>
                </c:pt>
                <c:pt idx="8">
                  <c:v>69876.229920317142</c:v>
                </c:pt>
                <c:pt idx="9">
                  <c:v>69876.229920317142</c:v>
                </c:pt>
                <c:pt idx="10">
                  <c:v>69876.229920317142</c:v>
                </c:pt>
                <c:pt idx="11">
                  <c:v>69876.229920317142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36D-467F-AF16-84058D8BB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396416"/>
        <c:axId val="204575104"/>
      </c:lineChart>
      <c:catAx>
        <c:axId val="20439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575104"/>
        <c:crosses val="autoZero"/>
        <c:auto val="1"/>
        <c:lblAlgn val="ctr"/>
        <c:lblOffset val="100"/>
        <c:noMultiLvlLbl val="0"/>
      </c:catAx>
      <c:valAx>
        <c:axId val="20457510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439641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84213.078959300721</c:v>
                </c:pt>
                <c:pt idx="1">
                  <c:v>89651.220528821315</c:v>
                </c:pt>
                <c:pt idx="2">
                  <c:v>97256.6990817162</c:v>
                </c:pt>
                <c:pt idx="3">
                  <c:v>107155.07322655396</c:v>
                </c:pt>
                <c:pt idx="4">
                  <c:v>115954.29498878216</c:v>
                </c:pt>
                <c:pt idx="5">
                  <c:v>126050.70504238752</c:v>
                </c:pt>
                <c:pt idx="6">
                  <c:v>138048.2423263973</c:v>
                </c:pt>
                <c:pt idx="7">
                  <c:v>148584.54964382708</c:v>
                </c:pt>
                <c:pt idx="8">
                  <c:v>160051.26260656817</c:v>
                </c:pt>
                <c:pt idx="9">
                  <c:v>172534.38520644774</c:v>
                </c:pt>
                <c:pt idx="10">
                  <c:v>186128.09298119778</c:v>
                </c:pt>
                <c:pt idx="11">
                  <c:v>200935.52298551091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16C-4266-8861-2961F2D4773F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76863.852912348841</c:v>
                </c:pt>
                <c:pt idx="1">
                  <c:v>76863.852912348841</c:v>
                </c:pt>
                <c:pt idx="2">
                  <c:v>76863.852912348841</c:v>
                </c:pt>
                <c:pt idx="3">
                  <c:v>76863.852912348841</c:v>
                </c:pt>
                <c:pt idx="4">
                  <c:v>76863.852912348841</c:v>
                </c:pt>
                <c:pt idx="5">
                  <c:v>76863.852912348841</c:v>
                </c:pt>
                <c:pt idx="6">
                  <c:v>76863.852912348841</c:v>
                </c:pt>
                <c:pt idx="7">
                  <c:v>76863.852912348841</c:v>
                </c:pt>
                <c:pt idx="8">
                  <c:v>76863.852912348841</c:v>
                </c:pt>
                <c:pt idx="9">
                  <c:v>76863.852912348841</c:v>
                </c:pt>
                <c:pt idx="10">
                  <c:v>76863.852912348841</c:v>
                </c:pt>
                <c:pt idx="11">
                  <c:v>76863.852912348841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6C-4266-8861-2961F2D47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2160"/>
        <c:axId val="205111680"/>
      </c:lineChart>
      <c:catAx>
        <c:axId val="20505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111680"/>
        <c:crosses val="autoZero"/>
        <c:auto val="1"/>
        <c:lblAlgn val="ctr"/>
        <c:lblOffset val="100"/>
        <c:noMultiLvlLbl val="0"/>
      </c:catAx>
      <c:valAx>
        <c:axId val="20511168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0505216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80445.190119080507</c:v>
                </c:pt>
                <c:pt idx="1">
                  <c:v>85683.991946132315</c:v>
                </c:pt>
                <c:pt idx="2">
                  <c:v>93072.965357647874</c:v>
                </c:pt>
                <c:pt idx="3">
                  <c:v>102736.10690255889</c:v>
                </c:pt>
                <c:pt idx="4">
                  <c:v>111279.65961684362</c:v>
                </c:pt>
                <c:pt idx="5">
                  <c:v>121098.0941449051</c:v>
                </c:pt>
                <c:pt idx="6">
                  <c:v>132793.30287234651</c:v>
                </c:pt>
                <c:pt idx="7">
                  <c:v>143000.68853286898</c:v>
                </c:pt>
                <c:pt idx="8">
                  <c:v>154109.43450458033</c:v>
                </c:pt>
                <c:pt idx="9">
                  <c:v>166202.85991309787</c:v>
                </c:pt>
                <c:pt idx="10">
                  <c:v>179372.2003312326</c:v>
                </c:pt>
                <c:pt idx="11">
                  <c:v>193717.37308878708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413-441D-B270-CF80CC4F11D7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62888.606928285422</c:v>
                </c:pt>
                <c:pt idx="1">
                  <c:v>62888.606928285422</c:v>
                </c:pt>
                <c:pt idx="2">
                  <c:v>62888.606928285422</c:v>
                </c:pt>
                <c:pt idx="3">
                  <c:v>62888.606928285422</c:v>
                </c:pt>
                <c:pt idx="4">
                  <c:v>62888.606928285422</c:v>
                </c:pt>
                <c:pt idx="5">
                  <c:v>62888.606928285422</c:v>
                </c:pt>
                <c:pt idx="6">
                  <c:v>62888.606928285422</c:v>
                </c:pt>
                <c:pt idx="7">
                  <c:v>62888.606928285422</c:v>
                </c:pt>
                <c:pt idx="8">
                  <c:v>62888.606928285422</c:v>
                </c:pt>
                <c:pt idx="9">
                  <c:v>62888.606928285422</c:v>
                </c:pt>
                <c:pt idx="10">
                  <c:v>62888.606928285422</c:v>
                </c:pt>
                <c:pt idx="11">
                  <c:v>62888.606928285422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13-441D-B270-CF80CC4F1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815936"/>
        <c:axId val="294376960"/>
      </c:lineChart>
      <c:catAx>
        <c:axId val="28981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4376960"/>
        <c:crosses val="autoZero"/>
        <c:auto val="1"/>
        <c:lblAlgn val="ctr"/>
        <c:lblOffset val="100"/>
        <c:noMultiLvlLbl val="0"/>
      </c:catAx>
      <c:valAx>
        <c:axId val="29437696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8981593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128514.13593058335</c:v>
                </c:pt>
                <c:pt idx="1">
                  <c:v>137004.08607188077</c:v>
                </c:pt>
                <c:pt idx="2">
                  <c:v>149030.37351172318</c:v>
                </c:pt>
                <c:pt idx="3">
                  <c:v>164796.47414175127</c:v>
                </c:pt>
                <c:pt idx="4">
                  <c:v>178697.68138225476</c:v>
                </c:pt>
                <c:pt idx="5">
                  <c:v>194685.9409015511</c:v>
                </c:pt>
                <c:pt idx="6">
                  <c:v>213753.38096152933</c:v>
                </c:pt>
                <c:pt idx="7">
                  <c:v>230343.01430260818</c:v>
                </c:pt>
                <c:pt idx="8">
                  <c:v>248397.5905358379</c:v>
                </c:pt>
                <c:pt idx="9">
                  <c:v>268052.5247214759</c:v>
                </c:pt>
                <c:pt idx="10">
                  <c:v>289456.09818746778</c:v>
                </c:pt>
                <c:pt idx="11">
                  <c:v>312770.70235517999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B91-4222-A964-72F0769D102D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76863.852912348841</c:v>
                </c:pt>
                <c:pt idx="1">
                  <c:v>76863.852912348841</c:v>
                </c:pt>
                <c:pt idx="2">
                  <c:v>76863.852912348841</c:v>
                </c:pt>
                <c:pt idx="3">
                  <c:v>76863.852912348841</c:v>
                </c:pt>
                <c:pt idx="4">
                  <c:v>76863.852912348841</c:v>
                </c:pt>
                <c:pt idx="5">
                  <c:v>76863.852912348841</c:v>
                </c:pt>
                <c:pt idx="6">
                  <c:v>76863.852912348841</c:v>
                </c:pt>
                <c:pt idx="7">
                  <c:v>76863.852912348841</c:v>
                </c:pt>
                <c:pt idx="8">
                  <c:v>76863.852912348841</c:v>
                </c:pt>
                <c:pt idx="9">
                  <c:v>76863.852912348841</c:v>
                </c:pt>
                <c:pt idx="10">
                  <c:v>76863.852912348841</c:v>
                </c:pt>
                <c:pt idx="11">
                  <c:v>76863.852912348841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B91-4222-A964-72F0769D1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32544"/>
        <c:axId val="123134336"/>
      </c:lineChart>
      <c:catAx>
        <c:axId val="12313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134336"/>
        <c:crosses val="autoZero"/>
        <c:auto val="1"/>
        <c:lblAlgn val="ctr"/>
        <c:lblOffset val="100"/>
        <c:noMultiLvlLbl val="0"/>
      </c:catAx>
      <c:valAx>
        <c:axId val="12313433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23132544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124162.56586215293</c:v>
                </c:pt>
                <c:pt idx="1">
                  <c:v>132408.87854043292</c:v>
                </c:pt>
                <c:pt idx="2">
                  <c:v>144170.54858525621</c:v>
                </c:pt>
                <c:pt idx="3">
                  <c:v>159649.14270426275</c:v>
                </c:pt>
                <c:pt idx="4">
                  <c:v>173237.86555283531</c:v>
                </c:pt>
                <c:pt idx="5">
                  <c:v>188886.37720757801</c:v>
                </c:pt>
                <c:pt idx="6">
                  <c:v>207584.30458730602</c:v>
                </c:pt>
                <c:pt idx="7">
                  <c:v>223771.9225699426</c:v>
                </c:pt>
                <c:pt idx="8">
                  <c:v>241388.98359191368</c:v>
                </c:pt>
                <c:pt idx="9">
                  <c:v>260567.62121033142</c:v>
                </c:pt>
                <c:pt idx="10">
                  <c:v>281452.52346268232</c:v>
                </c:pt>
                <c:pt idx="11">
                  <c:v>304202.14655102295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2B-4EDB-9CE3-5FE81C0ACD50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62888.606928285422</c:v>
                </c:pt>
                <c:pt idx="1">
                  <c:v>62888.606928285422</c:v>
                </c:pt>
                <c:pt idx="2">
                  <c:v>62888.606928285422</c:v>
                </c:pt>
                <c:pt idx="3">
                  <c:v>62888.606928285422</c:v>
                </c:pt>
                <c:pt idx="4">
                  <c:v>62888.606928285422</c:v>
                </c:pt>
                <c:pt idx="5">
                  <c:v>62888.606928285422</c:v>
                </c:pt>
                <c:pt idx="6">
                  <c:v>62888.606928285422</c:v>
                </c:pt>
                <c:pt idx="7">
                  <c:v>62888.606928285422</c:v>
                </c:pt>
                <c:pt idx="8">
                  <c:v>62888.606928285422</c:v>
                </c:pt>
                <c:pt idx="9">
                  <c:v>62888.606928285422</c:v>
                </c:pt>
                <c:pt idx="10">
                  <c:v>62888.606928285422</c:v>
                </c:pt>
                <c:pt idx="11">
                  <c:v>62888.606928285422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2B-4EDB-9CE3-5FE81C0AC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452928"/>
        <c:axId val="155454464"/>
      </c:lineChart>
      <c:catAx>
        <c:axId val="15545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454464"/>
        <c:crosses val="autoZero"/>
        <c:auto val="1"/>
        <c:lblAlgn val="ctr"/>
        <c:lblOffset val="100"/>
        <c:noMultiLvlLbl val="0"/>
      </c:catAx>
      <c:valAx>
        <c:axId val="155454464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55452928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workbookViewId="0">
      <selection activeCell="J9" sqref="J9"/>
    </sheetView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CitiPower - J18 TK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7.25" customHeight="1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197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8" customHeight="1" x14ac:dyDescent="0.4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25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20.25" customHeight="1" x14ac:dyDescent="0.4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7.25" customHeight="1" x14ac:dyDescent="0.4">
      <c r="A21" s="8"/>
      <c r="B21" s="8"/>
      <c r="C21" s="9" t="str">
        <f>"Replacement capex, real $"&amp;$J$10</f>
        <v>Replacement capex, real $2019</v>
      </c>
      <c r="D21" s="10"/>
      <c r="E21" s="10"/>
      <c r="F21" s="10"/>
      <c r="G21" s="10"/>
      <c r="H21" s="10"/>
      <c r="I21" s="10"/>
      <c r="J21" s="17">
        <f>SUM(O21:Z21)</f>
        <v>1125000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0</v>
      </c>
      <c r="S21" s="18">
        <v>1125000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1165778.7610619469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1165778.7610619469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5507</v>
      </c>
      <c r="K26" s="18">
        <v>4612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5706.616566371682</v>
      </c>
      <c r="K27" s="19">
        <f>K26*HLOOKUP($J$10,$O$16:$Z$17,2,0)</f>
        <v>4779.1747964601773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0.10963779055370652</v>
      </c>
      <c r="P64" s="15">
        <v>0.11795860673347112</v>
      </c>
      <c r="Q64" s="15">
        <v>0.12699593898382874</v>
      </c>
      <c r="R64" s="15">
        <v>0.13681499061516583</v>
      </c>
      <c r="S64" s="15">
        <v>0.14748709806572163</v>
      </c>
      <c r="T64" s="15">
        <v>0.15909031989132541</v>
      </c>
      <c r="U64" s="15">
        <v>0.17171008308527377</v>
      </c>
      <c r="V64" s="15">
        <v>0.18543989235849376</v>
      </c>
      <c r="W64" s="15">
        <v>0.20038210856632546</v>
      </c>
      <c r="X64" s="15">
        <v>0.21664880307959619</v>
      </c>
      <c r="Y64" s="15">
        <v>0.2343626955696583</v>
      </c>
      <c r="Z64" s="15">
        <v>0.25365818341571406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1.3704723819213315E-3</v>
      </c>
      <c r="P65" s="15">
        <v>1.4744825841683882E-3</v>
      </c>
      <c r="Q65" s="15">
        <v>1.5874492372978596E-3</v>
      </c>
      <c r="R65" s="15">
        <v>1.7101873826895727E-3</v>
      </c>
      <c r="S65" s="15">
        <v>1.8435887258215207E-3</v>
      </c>
      <c r="T65" s="15">
        <v>1.9886289986415662E-3</v>
      </c>
      <c r="U65" s="15">
        <v>2.1463760385659215E-3</v>
      </c>
      <c r="V65" s="15">
        <v>2.3179986544811723E-3</v>
      </c>
      <c r="W65" s="15">
        <v>2.5047763570790671E-3</v>
      </c>
      <c r="X65" s="15">
        <v>2.7081100384949521E-3</v>
      </c>
      <c r="Y65" s="15">
        <v>2.9295336946207283E-3</v>
      </c>
      <c r="Z65" s="15">
        <v>3.1707272926964247E-3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137" t="s">
        <v>40</v>
      </c>
      <c r="E66" s="134"/>
      <c r="F66" s="134"/>
      <c r="G66" s="134"/>
      <c r="H66" s="134"/>
      <c r="I66" s="135"/>
      <c r="J66" s="30">
        <v>3</v>
      </c>
      <c r="K66" s="136"/>
      <c r="L66" s="136"/>
      <c r="M66" s="136"/>
      <c r="N66" s="136"/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44</v>
      </c>
      <c r="L70" s="31" t="s">
        <v>45</v>
      </c>
      <c r="M70" s="31" t="s">
        <v>46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47</v>
      </c>
      <c r="E71" s="10"/>
      <c r="F71" s="10"/>
      <c r="G71" s="10"/>
      <c r="H71" s="10"/>
      <c r="I71" s="10"/>
      <c r="J71" s="18">
        <v>66398</v>
      </c>
      <c r="K71" s="18">
        <v>26450</v>
      </c>
      <c r="L71" s="15">
        <v>0.2</v>
      </c>
      <c r="M71" s="19">
        <f>K71*J71/$J$75*L71*$W$17</f>
        <v>1902.4239870465765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48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49</v>
      </c>
      <c r="E73" s="10"/>
      <c r="F73" s="10"/>
      <c r="G73" s="10"/>
      <c r="H73" s="10"/>
      <c r="I73" s="10"/>
      <c r="J73" s="18">
        <v>125231</v>
      </c>
      <c r="K73" s="18">
        <v>47770</v>
      </c>
      <c r="L73" s="15">
        <v>0.4</v>
      </c>
      <c r="M73" s="19">
        <f>K73*J73/$J$75*L73*$W$17</f>
        <v>12960.558727323831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50</v>
      </c>
      <c r="E74" s="29"/>
      <c r="F74" s="29"/>
      <c r="G74" s="29"/>
      <c r="H74" s="29"/>
      <c r="I74" s="29"/>
      <c r="J74" s="18">
        <v>3669</v>
      </c>
      <c r="K74" s="18">
        <v>47070</v>
      </c>
      <c r="L74" s="15">
        <v>0.8</v>
      </c>
      <c r="M74" s="19">
        <f>K74*J74/$J$75*L74*$W$17</f>
        <v>748.3048158199266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51</v>
      </c>
      <c r="E75" s="10"/>
      <c r="F75" s="10"/>
      <c r="G75" s="10"/>
      <c r="H75" s="10"/>
      <c r="I75" s="10"/>
      <c r="J75" s="32">
        <f>SUM(J71:J74)</f>
        <v>195298</v>
      </c>
      <c r="K75" s="32">
        <f>SUMPRODUCT(J71:J74,K71:K74)/J75</f>
        <v>40508.4117604891</v>
      </c>
      <c r="L75" s="33">
        <f>M75/(K75*$W$17)</f>
        <v>0.3643334681040899</v>
      </c>
      <c r="M75" s="34">
        <f>SUMPRODUCT(J71:J74,K71:K74,L71:L74)/J75*W17</f>
        <v>15611.287530190331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52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53</v>
      </c>
      <c r="D79" s="10"/>
      <c r="E79" s="10"/>
      <c r="F79" s="10"/>
      <c r="G79" s="10"/>
      <c r="H79" s="10"/>
      <c r="I79" s="10"/>
      <c r="J79" s="30">
        <v>1</v>
      </c>
      <c r="K79" s="10"/>
      <c r="M79" s="139" t="s">
        <v>194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54</v>
      </c>
      <c r="D80" s="10"/>
      <c r="E80" s="10"/>
      <c r="F80" s="10"/>
      <c r="G80" s="10"/>
      <c r="H80" s="10"/>
      <c r="I80" s="10"/>
      <c r="J80" s="18">
        <v>87</v>
      </c>
      <c r="K80" s="10"/>
      <c r="L80" s="10" t="s">
        <v>195</v>
      </c>
      <c r="M80" s="141">
        <f>MAX(M81:M82)</f>
        <v>2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55</v>
      </c>
      <c r="E81" s="10"/>
      <c r="F81" s="10"/>
      <c r="G81" s="10"/>
      <c r="H81" s="10"/>
      <c r="I81" s="10"/>
      <c r="J81" s="18">
        <v>52.9</v>
      </c>
      <c r="K81" s="10"/>
      <c r="L81" s="10" t="str">
        <f>D64</f>
        <v>Significant</v>
      </c>
      <c r="M81" s="18">
        <v>1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56</v>
      </c>
      <c r="E82" s="10"/>
      <c r="F82" s="10"/>
      <c r="G82" s="10"/>
      <c r="H82" s="10"/>
      <c r="I82" s="10"/>
      <c r="J82" s="18">
        <v>0</v>
      </c>
      <c r="K82" s="10"/>
      <c r="L82" s="10" t="str">
        <f>D65</f>
        <v>Major</v>
      </c>
      <c r="M82" s="18">
        <v>2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57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58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59</v>
      </c>
      <c r="E85" s="29"/>
      <c r="F85" s="29"/>
      <c r="G85" s="29"/>
      <c r="H85" s="29"/>
      <c r="I85" s="29"/>
      <c r="J85" s="18">
        <v>0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60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61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62</v>
      </c>
      <c r="D91" s="10"/>
      <c r="E91" s="10"/>
      <c r="F91" s="10"/>
      <c r="G91" s="10"/>
      <c r="H91" s="10"/>
      <c r="I91" s="10"/>
      <c r="J91" s="10" t="s">
        <v>63</v>
      </c>
      <c r="K91" s="10" t="s">
        <v>64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65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66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67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68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69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70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71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72</v>
      </c>
      <c r="E100" s="10"/>
      <c r="F100" s="10"/>
      <c r="G100" s="10"/>
      <c r="H100" s="10"/>
      <c r="I100" s="10"/>
      <c r="J100" s="18">
        <v>20</v>
      </c>
      <c r="K100" s="18">
        <v>100</v>
      </c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73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74</v>
      </c>
      <c r="E102" s="10"/>
      <c r="F102" s="10"/>
      <c r="G102" s="10"/>
      <c r="H102" s="10"/>
      <c r="I102" s="10"/>
      <c r="J102" s="18">
        <v>5.0000000000000001E-3</v>
      </c>
      <c r="K102" s="18">
        <v>0.05</v>
      </c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75</v>
      </c>
      <c r="E103" s="10"/>
      <c r="F103" s="10"/>
      <c r="G103" s="10"/>
      <c r="H103" s="10"/>
      <c r="I103" s="10"/>
      <c r="J103" s="18">
        <v>1</v>
      </c>
      <c r="K103" s="18">
        <v>1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76</v>
      </c>
      <c r="E104" s="29"/>
      <c r="F104" s="29"/>
      <c r="G104" s="29"/>
      <c r="H104" s="29"/>
      <c r="I104" s="29"/>
      <c r="J104" s="18">
        <v>2</v>
      </c>
      <c r="K104" s="18">
        <v>5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77</v>
      </c>
      <c r="E105" s="10"/>
      <c r="F105" s="10"/>
      <c r="G105" s="10"/>
      <c r="H105" s="10"/>
      <c r="I105" s="10"/>
      <c r="J105" s="36">
        <f>SUMPRODUCT($K$94:$K$96,J102:J104)</f>
        <v>1917.058407079646</v>
      </c>
      <c r="K105" s="36">
        <f t="shared" ref="K105" si="8">SUMPRODUCT($K$94:$K$96,K102:K104)</f>
        <v>3626.8672566371683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78</v>
      </c>
      <c r="E106" s="10"/>
      <c r="F106" s="10"/>
      <c r="G106" s="10"/>
      <c r="H106" s="10"/>
      <c r="I106" s="10"/>
      <c r="J106" s="19">
        <f>SUMPRODUCT($K$93:$K$96,J101:J104)</f>
        <v>1917.058407079646</v>
      </c>
      <c r="K106" s="19">
        <f t="shared" ref="K106" si="9">SUMPRODUCT($K$93:$K$96,K101:K104)</f>
        <v>3626.8672566371683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79</v>
      </c>
      <c r="E107" s="29"/>
      <c r="F107" s="29"/>
      <c r="G107" s="29"/>
      <c r="H107" s="29"/>
      <c r="I107" s="29"/>
      <c r="J107" s="19">
        <f>SUMPRODUCT($K$92:$K$96,J100:J104)</f>
        <v>3989.5539823008849</v>
      </c>
      <c r="K107" s="19">
        <f t="shared" ref="K107" si="10">SUMPRODUCT($K$92:$K$96,K100:K104)</f>
        <v>13989.345132743363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80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81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83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84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85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86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87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88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89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90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91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92</v>
      </c>
      <c r="E123" s="29"/>
      <c r="F123" s="29"/>
      <c r="G123" s="29"/>
      <c r="H123" s="29"/>
      <c r="I123" s="29"/>
      <c r="J123" s="18">
        <v>24</v>
      </c>
      <c r="K123" s="14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93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94</v>
      </c>
      <c r="E126" s="29"/>
      <c r="F126" s="29"/>
      <c r="G126" s="29"/>
      <c r="H126" s="29"/>
      <c r="I126" s="29"/>
      <c r="J126" s="18">
        <v>2</v>
      </c>
      <c r="K126" s="18">
        <v>2</v>
      </c>
      <c r="L126" s="10"/>
      <c r="M126" s="14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95</v>
      </c>
      <c r="E128" s="10"/>
      <c r="F128" s="10"/>
      <c r="G128" s="10"/>
      <c r="H128" s="10"/>
      <c r="I128" s="10"/>
      <c r="J128" s="18">
        <v>2</v>
      </c>
      <c r="K128" s="18">
        <v>12</v>
      </c>
      <c r="L128" s="32"/>
      <c r="M128" s="32"/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96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AVERAGE(O194:Z194)</f>
        <v>49.424250000000001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97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50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98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13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99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3">ROUNDUP(K131/$J$118,0)</f>
        <v>5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100</v>
      </c>
      <c r="D134" s="10"/>
      <c r="E134" s="10"/>
      <c r="F134" s="10"/>
      <c r="G134" s="10"/>
      <c r="H134" s="10"/>
      <c r="I134" s="10"/>
      <c r="J134" s="10" t="s">
        <v>63</v>
      </c>
      <c r="K134" s="10" t="s">
        <v>64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101</v>
      </c>
      <c r="E135" s="10"/>
      <c r="F135" s="10"/>
      <c r="G135" s="10"/>
      <c r="H135" s="10"/>
      <c r="I135" s="10"/>
      <c r="J135" s="18">
        <v>7000</v>
      </c>
      <c r="K135" s="19">
        <f t="shared" ref="K135:K146" si="14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102</v>
      </c>
      <c r="E136" s="10"/>
      <c r="F136" s="10"/>
      <c r="G136" s="10"/>
      <c r="H136" s="10"/>
      <c r="I136" s="10"/>
      <c r="J136" s="18">
        <v>1.5</v>
      </c>
      <c r="K136" s="19">
        <f t="shared" si="14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103</v>
      </c>
      <c r="E137" s="10"/>
      <c r="F137" s="10"/>
      <c r="G137" s="10"/>
      <c r="H137" s="10"/>
      <c r="I137" s="10"/>
      <c r="J137" s="18">
        <v>150</v>
      </c>
      <c r="K137" s="19">
        <f t="shared" si="14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104</v>
      </c>
      <c r="E138" s="10"/>
      <c r="F138" s="10"/>
      <c r="G138" s="10"/>
      <c r="H138" s="10"/>
      <c r="I138" s="10"/>
      <c r="J138" s="18">
        <v>10000</v>
      </c>
      <c r="K138" s="19">
        <f t="shared" si="14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105</v>
      </c>
      <c r="E139" s="10"/>
      <c r="F139" s="10"/>
      <c r="G139" s="10"/>
      <c r="H139" s="10"/>
      <c r="I139" s="10"/>
      <c r="J139" s="18">
        <v>7000</v>
      </c>
      <c r="K139" s="19">
        <f t="shared" si="14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106</v>
      </c>
      <c r="E140" s="10"/>
      <c r="F140" s="10"/>
      <c r="G140" s="10"/>
      <c r="H140" s="10"/>
      <c r="I140" s="10"/>
      <c r="J140" s="18">
        <v>2000</v>
      </c>
      <c r="K140" s="19">
        <f t="shared" si="14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107</v>
      </c>
      <c r="E141" s="10"/>
      <c r="F141" s="10"/>
      <c r="G141" s="10"/>
      <c r="H141" s="10"/>
      <c r="I141" s="10"/>
      <c r="J141" s="18">
        <v>3000</v>
      </c>
      <c r="K141" s="19">
        <f t="shared" si="14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108</v>
      </c>
      <c r="E142" s="10"/>
      <c r="F142" s="10"/>
      <c r="G142" s="10"/>
      <c r="H142" s="10"/>
      <c r="I142" s="10"/>
      <c r="J142" s="18">
        <v>2000</v>
      </c>
      <c r="K142" s="19">
        <f t="shared" si="14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109</v>
      </c>
      <c r="E143" s="10"/>
      <c r="F143" s="10"/>
      <c r="G143" s="10"/>
      <c r="H143" s="10"/>
      <c r="I143" s="10"/>
      <c r="J143" s="18">
        <v>2500</v>
      </c>
      <c r="K143" s="19">
        <f t="shared" si="14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110</v>
      </c>
      <c r="E144" s="10"/>
      <c r="F144" s="10"/>
      <c r="G144" s="10"/>
      <c r="H144" s="10"/>
      <c r="I144" s="10"/>
      <c r="J144" s="18">
        <v>4000</v>
      </c>
      <c r="K144" s="19">
        <f t="shared" si="14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111</v>
      </c>
      <c r="E145" s="10"/>
      <c r="F145" s="10"/>
      <c r="G145" s="10"/>
      <c r="H145" s="10"/>
      <c r="I145" s="10"/>
      <c r="J145" s="18">
        <v>2500</v>
      </c>
      <c r="K145" s="19">
        <f t="shared" si="14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112</v>
      </c>
      <c r="E146" s="29"/>
      <c r="F146" s="29"/>
      <c r="G146" s="29"/>
      <c r="H146" s="29"/>
      <c r="I146" s="29"/>
      <c r="J146" s="18">
        <v>3000</v>
      </c>
      <c r="K146" s="19">
        <f t="shared" si="14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113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114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4503360.1769911507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115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15235205.723199841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116</v>
      </c>
      <c r="E151" s="10"/>
      <c r="F151" s="10"/>
      <c r="G151" s="10"/>
      <c r="H151" s="10"/>
      <c r="I151" s="10"/>
      <c r="J151" s="19">
        <f t="shared" ref="J151:K151" si="15">($K137*$J$122*$J$121*J131)
+($K137*J131*$J$123*J128*$J$120)</f>
        <v>0</v>
      </c>
      <c r="K151" s="19">
        <f t="shared" si="15"/>
        <v>4235351.957522125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117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11315825.840707963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118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1170873.6460176993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119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26942.442477876109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120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484963.96460176999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121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26942.442477876109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122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33678.053097345131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123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53884.884955752219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124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33678.053097345131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125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40413.663716814161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51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6">IF(OR(K126&gt;0,K128=0),0,SUM(K149:K160))</f>
        <v>0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126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127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128</v>
      </c>
      <c r="D167" s="10"/>
      <c r="E167" s="10"/>
      <c r="F167" s="10"/>
      <c r="G167" s="10"/>
      <c r="H167" s="10"/>
      <c r="I167" s="10"/>
      <c r="J167" s="31" t="s">
        <v>129</v>
      </c>
      <c r="K167" s="31" t="s">
        <v>130</v>
      </c>
      <c r="L167" s="31" t="s">
        <v>131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132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133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17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134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17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135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18">K148</f>
        <v>Major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4.2844901456726651E-3</v>
      </c>
      <c r="K173" s="24">
        <v>1.4995715509854325E-2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19">D169</f>
        <v>Serious</v>
      </c>
      <c r="E174" s="10"/>
      <c r="F174" s="10"/>
      <c r="G174" s="10"/>
      <c r="H174" s="10"/>
      <c r="I174" s="10"/>
      <c r="J174" s="24">
        <v>8.5689802913453304E-4</v>
      </c>
      <c r="K174" s="24">
        <v>2.9991431019708655E-3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19"/>
        <v>Fataility</v>
      </c>
      <c r="E175" s="29"/>
      <c r="F175" s="29"/>
      <c r="G175" s="29"/>
      <c r="H175" s="29"/>
      <c r="I175" s="29"/>
      <c r="J175" s="24">
        <v>1.7137960582690661E-4</v>
      </c>
      <c r="K175" s="24">
        <v>5.9982862039417305E-4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136</v>
      </c>
      <c r="E177" s="10"/>
      <c r="F177" s="10"/>
      <c r="G177" s="10"/>
      <c r="H177" s="10"/>
      <c r="I177" s="10"/>
      <c r="J177" s="19">
        <f>SUMPRODUCT($L$168:$L$170,J$173:J$175)</f>
        <v>4243.0067963233114</v>
      </c>
      <c r="K177" s="19">
        <f t="shared" ref="K177" si="20">SUMPRODUCT($L$168:$L$170,K$173:K$175)</f>
        <v>14850.523787131588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137</v>
      </c>
      <c r="E178" s="29"/>
      <c r="F178" s="29"/>
      <c r="G178" s="29"/>
      <c r="H178" s="29"/>
      <c r="I178" s="29"/>
      <c r="J178" s="38">
        <f>J177/SUM($L$168:$L$170)</f>
        <v>2.6791600771983051E-4</v>
      </c>
      <c r="K178" s="38">
        <f t="shared" ref="K178" si="21">K177/SUM($L$168:$L$170)</f>
        <v>9.3770602701940663E-4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138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139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140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49.595999999999997</v>
      </c>
      <c r="P185" s="18">
        <v>48.719000000000001</v>
      </c>
      <c r="Q185" s="18">
        <v>49.887</v>
      </c>
      <c r="R185" s="18">
        <v>52.18</v>
      </c>
      <c r="S185" s="18">
        <v>52.286999999999999</v>
      </c>
      <c r="T185" s="18">
        <v>53.261000000000003</v>
      </c>
      <c r="U185" s="18">
        <v>55.216000000000001</v>
      </c>
      <c r="V185" s="18">
        <v>55.216000000000001</v>
      </c>
      <c r="W185" s="18">
        <v>55.216000000000001</v>
      </c>
      <c r="X185" s="18">
        <v>55.216000000000001</v>
      </c>
      <c r="Y185" s="18">
        <v>55.216000000000001</v>
      </c>
      <c r="Z185" s="18">
        <v>55.216000000000001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45.076000000000001</v>
      </c>
      <c r="P186" s="18">
        <v>44.982999999999997</v>
      </c>
      <c r="Q186" s="18">
        <v>45.594999999999999</v>
      </c>
      <c r="R186" s="18">
        <v>47.040999999999997</v>
      </c>
      <c r="S186" s="18">
        <v>47.726999999999997</v>
      </c>
      <c r="T186" s="18">
        <v>48.38</v>
      </c>
      <c r="U186" s="18">
        <v>49.228999999999999</v>
      </c>
      <c r="V186" s="18">
        <v>49.228999999999999</v>
      </c>
      <c r="W186" s="18">
        <v>49.228999999999999</v>
      </c>
      <c r="X186" s="18">
        <v>49.228999999999999</v>
      </c>
      <c r="Y186" s="18">
        <v>49.228999999999999</v>
      </c>
      <c r="Z186" s="18">
        <v>49.228999999999999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141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46.432000000000002</v>
      </c>
      <c r="P187" s="19">
        <f t="shared" ref="P187:Z187" si="22">P185*(1-$J$187)
+P186*$J$187</f>
        <v>46.1038</v>
      </c>
      <c r="Q187" s="19">
        <f t="shared" si="22"/>
        <v>46.882599999999996</v>
      </c>
      <c r="R187" s="19">
        <f t="shared" si="22"/>
        <v>48.582700000000003</v>
      </c>
      <c r="S187" s="19">
        <f t="shared" si="22"/>
        <v>49.094999999999999</v>
      </c>
      <c r="T187" s="19">
        <f t="shared" si="22"/>
        <v>49.844300000000004</v>
      </c>
      <c r="U187" s="19">
        <f t="shared" si="22"/>
        <v>51.025099999999995</v>
      </c>
      <c r="V187" s="19">
        <f t="shared" si="22"/>
        <v>51.025099999999995</v>
      </c>
      <c r="W187" s="19">
        <f t="shared" si="22"/>
        <v>51.025099999999995</v>
      </c>
      <c r="X187" s="19">
        <f t="shared" si="22"/>
        <v>51.025099999999995</v>
      </c>
      <c r="Y187" s="19">
        <f t="shared" si="22"/>
        <v>51.025099999999995</v>
      </c>
      <c r="Z187" s="19">
        <f t="shared" si="22"/>
        <v>51.025099999999995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142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148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3">MAX(0,P$187-$J$85-$J80)</f>
        <v>0</v>
      </c>
      <c r="Q192" s="19">
        <f t="shared" si="23"/>
        <v>0</v>
      </c>
      <c r="R192" s="19">
        <f t="shared" si="23"/>
        <v>0</v>
      </c>
      <c r="S192" s="19">
        <f t="shared" si="23"/>
        <v>0</v>
      </c>
      <c r="T192" s="19">
        <f t="shared" si="23"/>
        <v>0</v>
      </c>
      <c r="U192" s="19">
        <f t="shared" si="23"/>
        <v>0</v>
      </c>
      <c r="V192" s="19">
        <f t="shared" si="23"/>
        <v>0</v>
      </c>
      <c r="W192" s="19">
        <f t="shared" si="23"/>
        <v>0</v>
      </c>
      <c r="X192" s="19">
        <f t="shared" si="23"/>
        <v>0</v>
      </c>
      <c r="Y192" s="19">
        <f t="shared" si="23"/>
        <v>0</v>
      </c>
      <c r="Z192" s="19">
        <f t="shared" si="23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144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>MAX(0,O$187-$J$85-$J81)</f>
        <v>0</v>
      </c>
      <c r="P193" s="19">
        <f t="shared" ref="P193:Z193" si="24">MAX(0,P$187-$J$85-$J81)</f>
        <v>0</v>
      </c>
      <c r="Q193" s="19">
        <f t="shared" si="24"/>
        <v>0</v>
      </c>
      <c r="R193" s="19">
        <f t="shared" si="24"/>
        <v>0</v>
      </c>
      <c r="S193" s="19">
        <f t="shared" si="24"/>
        <v>0</v>
      </c>
      <c r="T193" s="19">
        <f t="shared" si="24"/>
        <v>0</v>
      </c>
      <c r="U193" s="19">
        <f t="shared" si="24"/>
        <v>0</v>
      </c>
      <c r="V193" s="19">
        <f t="shared" si="24"/>
        <v>0</v>
      </c>
      <c r="W193" s="19">
        <f t="shared" si="24"/>
        <v>0</v>
      </c>
      <c r="X193" s="19">
        <f t="shared" si="24"/>
        <v>0</v>
      </c>
      <c r="Y193" s="19">
        <f t="shared" si="24"/>
        <v>0</v>
      </c>
      <c r="Z193" s="19">
        <f t="shared" si="24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145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>MAX(0,O$187-$J$85-$J82)</f>
        <v>46.432000000000002</v>
      </c>
      <c r="P194" s="19">
        <f t="shared" ref="P194:Z194" si="25">MAX(0,P$187-$J$85-$J82)</f>
        <v>46.1038</v>
      </c>
      <c r="Q194" s="19">
        <f t="shared" si="25"/>
        <v>46.882599999999996</v>
      </c>
      <c r="R194" s="19">
        <f t="shared" si="25"/>
        <v>48.582700000000003</v>
      </c>
      <c r="S194" s="19">
        <f t="shared" si="25"/>
        <v>49.094999999999999</v>
      </c>
      <c r="T194" s="19">
        <f t="shared" si="25"/>
        <v>49.844300000000004</v>
      </c>
      <c r="U194" s="19">
        <f t="shared" si="25"/>
        <v>51.025099999999995</v>
      </c>
      <c r="V194" s="19">
        <f t="shared" si="25"/>
        <v>51.025099999999995</v>
      </c>
      <c r="W194" s="19">
        <f t="shared" si="25"/>
        <v>51.025099999999995</v>
      </c>
      <c r="X194" s="19">
        <f t="shared" si="25"/>
        <v>51.025099999999995</v>
      </c>
      <c r="Y194" s="19">
        <f t="shared" si="25"/>
        <v>51.025099999999995</v>
      </c>
      <c r="Z194" s="19">
        <f t="shared" si="25"/>
        <v>51.025099999999995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>MAX(0,O$187-$J$85-$J83)</f>
        <v>46.432000000000002</v>
      </c>
      <c r="P195" s="19">
        <f t="shared" ref="P195:Z195" si="26">MAX(0,P$187-$J$85-$J83)</f>
        <v>46.1038</v>
      </c>
      <c r="Q195" s="19">
        <f t="shared" si="26"/>
        <v>46.882599999999996</v>
      </c>
      <c r="R195" s="19">
        <f t="shared" si="26"/>
        <v>48.582700000000003</v>
      </c>
      <c r="S195" s="19">
        <f t="shared" si="26"/>
        <v>49.094999999999999</v>
      </c>
      <c r="T195" s="19">
        <f t="shared" si="26"/>
        <v>49.844300000000004</v>
      </c>
      <c r="U195" s="19">
        <f t="shared" si="26"/>
        <v>51.025099999999995</v>
      </c>
      <c r="V195" s="19">
        <f t="shared" si="26"/>
        <v>51.025099999999995</v>
      </c>
      <c r="W195" s="19">
        <f t="shared" si="26"/>
        <v>51.025099999999995</v>
      </c>
      <c r="X195" s="19">
        <f t="shared" si="26"/>
        <v>51.025099999999995</v>
      </c>
      <c r="Y195" s="19">
        <f t="shared" si="26"/>
        <v>51.025099999999995</v>
      </c>
      <c r="Z195" s="19">
        <f t="shared" si="26"/>
        <v>51.025099999999995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147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>MAX(0,O$187-$J$85-$J84)</f>
        <v>46.432000000000002</v>
      </c>
      <c r="P196" s="19">
        <f t="shared" ref="P196:Z196" si="27">MAX(0,P$187-$J$85-$J84)</f>
        <v>46.1038</v>
      </c>
      <c r="Q196" s="19">
        <f t="shared" si="27"/>
        <v>46.882599999999996</v>
      </c>
      <c r="R196" s="19">
        <f t="shared" si="27"/>
        <v>48.582700000000003</v>
      </c>
      <c r="S196" s="19">
        <f t="shared" si="27"/>
        <v>49.094999999999999</v>
      </c>
      <c r="T196" s="19">
        <f t="shared" si="27"/>
        <v>49.844300000000004</v>
      </c>
      <c r="U196" s="19">
        <f t="shared" si="27"/>
        <v>51.025099999999995</v>
      </c>
      <c r="V196" s="19">
        <f t="shared" si="27"/>
        <v>51.025099999999995</v>
      </c>
      <c r="W196" s="19">
        <f t="shared" si="27"/>
        <v>51.025099999999995</v>
      </c>
      <c r="X196" s="19">
        <f t="shared" si="27"/>
        <v>51.025099999999995</v>
      </c>
      <c r="Y196" s="19">
        <f t="shared" si="27"/>
        <v>51.025099999999995</v>
      </c>
      <c r="Z196" s="19">
        <f t="shared" si="27"/>
        <v>51.025099999999995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149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topLeftCell="A13" zoomScale="90" zoomScaleNormal="90" workbookViewId="0">
      <selection activeCell="R41" sqref="R41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TK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INDEX(Inputs!$J$64:$J$66,MATCH('Base Case'!J17,Inputs!$D$64:$D$66,0))</f>
        <v>3</v>
      </c>
      <c r="J17" s="112" t="s">
        <v>40</v>
      </c>
      <c r="K17" s="113" t="s">
        <v>198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19"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INDEX(Inputs!$J$64:$J$66,MATCH('Base Case'!J18,Inputs!$D$64:$D$66,0))</f>
        <v>3</v>
      </c>
      <c r="J18" s="120" t="s">
        <v>40</v>
      </c>
      <c r="K18" s="121" t="s">
        <v>127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126"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INDEX(Inputs!$J$64:$J$66,MATCH('Base Case'!J19,Inputs!$D$64:$D$66,0))</f>
        <v>3</v>
      </c>
      <c r="J19" s="120" t="s">
        <v>40</v>
      </c>
      <c r="K19" s="121" t="s">
        <v>199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126"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INDEX(Inputs!$J$64:$J$66,MATCH('Base Case'!J20,Inputs!$D$64:$D$66,0))</f>
        <v>3</v>
      </c>
      <c r="J20" s="120" t="s">
        <v>40</v>
      </c>
      <c r="K20" s="121" t="s">
        <v>200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126"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INDEX(Inputs!$J$64:$J$66,MATCH('Base Case'!J21,Inputs!$D$64:$D$66,0))</f>
        <v>3</v>
      </c>
      <c r="J21" s="120" t="s">
        <v>40</v>
      </c>
      <c r="K21" s="121" t="s">
        <v>61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126"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INDEX(Inputs!$J$64:$J$66,MATCH('Base Case'!J22,Inputs!$D$64:$D$66,0))</f>
        <v>3</v>
      </c>
      <c r="J22" s="120" t="s">
        <v>40</v>
      </c>
      <c r="K22" s="121" t="s">
        <v>161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126"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INDEX(Inputs!$J$64:$J$66,MATCH('Base Case'!J23,Inputs!$D$64:$D$66,0))</f>
        <v>3</v>
      </c>
      <c r="J23" s="120" t="s">
        <v>40</v>
      </c>
      <c r="K23" s="121" t="s">
        <v>162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126"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INDEX(Inputs!$J$64:$J$66,MATCH('Base Case'!J24,Inputs!$D$64:$D$66,0))</f>
        <v>3</v>
      </c>
      <c r="J24" s="120" t="s">
        <v>40</v>
      </c>
      <c r="K24" s="121" t="s">
        <v>164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126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INDEX(Inputs!$J$64:$J$66,MATCH('Base Case'!J25,Inputs!$D$64:$D$66,0))</f>
        <v>3</v>
      </c>
      <c r="J25" s="120" t="s">
        <v>40</v>
      </c>
      <c r="K25" s="121" t="s">
        <v>163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12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INDEX(Inputs!$J$64:$J$66,MATCH('Base Case'!J26,Inputs!$D$64:$D$66,0))</f>
        <v>3</v>
      </c>
      <c r="J26" s="127" t="s">
        <v>40</v>
      </c>
      <c r="K26" s="128" t="s">
        <v>163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33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198</v>
      </c>
      <c r="L27" s="102"/>
      <c r="M27" s="102"/>
      <c r="N27" s="103"/>
      <c r="O27" s="63">
        <f>O105</f>
        <v>1449726.605203595</v>
      </c>
      <c r="P27" s="64">
        <v>0</v>
      </c>
      <c r="Q27" s="64">
        <v>0</v>
      </c>
      <c r="R27" s="64">
        <v>0</v>
      </c>
      <c r="S27" s="65">
        <v>0</v>
      </c>
      <c r="T27" s="66">
        <v>1</v>
      </c>
      <c r="U27" s="63">
        <f t="shared" si="0"/>
        <v>1449726.605203595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127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6"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199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6"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200</v>
      </c>
      <c r="L30" s="106"/>
      <c r="M30" s="106"/>
      <c r="N30" s="107"/>
      <c r="O30" s="69">
        <v>0</v>
      </c>
      <c r="P30" s="71">
        <v>0</v>
      </c>
      <c r="Q30" s="71">
        <v>0</v>
      </c>
      <c r="R30" s="71">
        <f>Inputs!$J$22*$I$10/15*3</f>
        <v>233155.75221238937</v>
      </c>
      <c r="S30" s="72">
        <v>0</v>
      </c>
      <c r="T30" s="76">
        <v>1</v>
      </c>
      <c r="U30" s="74">
        <f t="shared" si="0"/>
        <v>233155.75221238937</v>
      </c>
      <c r="V30" s="75">
        <f t="shared" si="1"/>
        <v>233155.75221238937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61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13989.345132743363</v>
      </c>
      <c r="T31" s="76">
        <v>1</v>
      </c>
      <c r="U31" s="74">
        <f t="shared" si="0"/>
        <v>13989.345132743363</v>
      </c>
      <c r="V31" s="75">
        <f t="shared" si="1"/>
        <v>13989.345132743363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161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1</v>
      </c>
      <c r="U32" s="74">
        <f t="shared" si="0"/>
        <v>51812.389380530978</v>
      </c>
      <c r="V32" s="75">
        <f t="shared" si="1"/>
        <v>51812.389380530978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162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20" t="s">
        <v>39</v>
      </c>
      <c r="K34" s="121" t="s">
        <v>164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126"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163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163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198</v>
      </c>
      <c r="L37" s="102"/>
      <c r="M37" s="102"/>
      <c r="N37" s="103"/>
      <c r="O37" s="63">
        <f>O103</f>
        <v>724863.30260179751</v>
      </c>
      <c r="P37" s="64">
        <v>0</v>
      </c>
      <c r="Q37" s="64">
        <v>0</v>
      </c>
      <c r="R37" s="64">
        <v>0</v>
      </c>
      <c r="S37" s="65">
        <v>0</v>
      </c>
      <c r="T37" s="66">
        <v>1</v>
      </c>
      <c r="U37" s="63">
        <f t="shared" si="0"/>
        <v>724863.30260179751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127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199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200</v>
      </c>
      <c r="L40" s="106"/>
      <c r="M40" s="106"/>
      <c r="N40" s="107"/>
      <c r="O40" s="69">
        <v>0</v>
      </c>
      <c r="P40" s="71">
        <v>0</v>
      </c>
      <c r="Q40" s="71">
        <v>0</v>
      </c>
      <c r="R40" s="71">
        <f>Inputs!$J$22*$I$10/15*1</f>
        <v>77718.584070796453</v>
      </c>
      <c r="S40" s="72">
        <v>0</v>
      </c>
      <c r="T40" s="76">
        <v>1</v>
      </c>
      <c r="U40" s="74">
        <f t="shared" si="0"/>
        <v>77718.584070796453</v>
      </c>
      <c r="V40" s="75">
        <f t="shared" si="1"/>
        <v>77718.584070796453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61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3989.5539823008849</v>
      </c>
      <c r="T41" s="76">
        <v>1</v>
      </c>
      <c r="U41" s="74">
        <f t="shared" si="0"/>
        <v>3989.5539823008849</v>
      </c>
      <c r="V41" s="75">
        <f t="shared" si="1"/>
        <v>3989.5539823008849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161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162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20" t="s">
        <v>38</v>
      </c>
      <c r="K44" s="121" t="s">
        <v>164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126"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163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163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724863.30260179751</v>
      </c>
      <c r="P49" s="70">
        <f t="shared" ref="P49:V49" si="2">SUMIF($I$17:$I$46,$I49,P$17:P$46)</f>
        <v>4243.0067963233114</v>
      </c>
      <c r="Q49" s="70">
        <f t="shared" si="2"/>
        <v>51812.389380530978</v>
      </c>
      <c r="R49" s="70">
        <f t="shared" si="2"/>
        <v>77718.584070796453</v>
      </c>
      <c r="S49" s="70">
        <f t="shared" si="2"/>
        <v>3989.5539823008849</v>
      </c>
      <c r="T49" s="56">
        <f>U49/SUM(O49:S49)</f>
        <v>0.99999999999999989</v>
      </c>
      <c r="U49" s="70">
        <f t="shared" si="2"/>
        <v>862626.83683174918</v>
      </c>
      <c r="V49" s="70">
        <f t="shared" si="2"/>
        <v>137763.53422995162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1449726.605203595</v>
      </c>
      <c r="P50" s="70">
        <f t="shared" si="3"/>
        <v>14850.523787131588</v>
      </c>
      <c r="Q50" s="70">
        <f t="shared" si="3"/>
        <v>51812.389380530978</v>
      </c>
      <c r="R50" s="70">
        <f t="shared" si="3"/>
        <v>233155.75221238937</v>
      </c>
      <c r="S50" s="70">
        <f t="shared" si="3"/>
        <v>13989.345132743363</v>
      </c>
      <c r="T50" s="56">
        <f t="shared" ref="T50:T51" si="4">U50/SUM(O50:S50)</f>
        <v>1</v>
      </c>
      <c r="U50" s="70">
        <f t="shared" si="3"/>
        <v>1763534.6157163903</v>
      </c>
      <c r="V50" s="70">
        <f t="shared" si="3"/>
        <v>313808.0105127953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2626161.4525481397</v>
      </c>
      <c r="V52" s="88">
        <f>SUM(V49:V51)</f>
        <v>451571.54474274692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52.9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49.595999999999997</v>
      </c>
      <c r="P69" s="70">
        <f>Inputs!P185*$I$12</f>
        <v>48.719000000000001</v>
      </c>
      <c r="Q69" s="70">
        <f>Inputs!Q185*$I$12</f>
        <v>49.887</v>
      </c>
      <c r="R69" s="70">
        <f>Inputs!R185*$I$12</f>
        <v>52.18</v>
      </c>
      <c r="S69" s="70">
        <f>Inputs!S185*$I$12</f>
        <v>52.286999999999999</v>
      </c>
      <c r="T69" s="70">
        <f>Inputs!T185*$I$12</f>
        <v>53.261000000000003</v>
      </c>
      <c r="U69" s="70">
        <f>Inputs!U185*$I$12</f>
        <v>55.216000000000001</v>
      </c>
      <c r="V69" s="70">
        <f>Inputs!V185*$I$12</f>
        <v>55.216000000000001</v>
      </c>
      <c r="W69" s="70">
        <f>Inputs!W185*$I$12</f>
        <v>55.216000000000001</v>
      </c>
      <c r="X69" s="70">
        <f>Inputs!X185*$I$12</f>
        <v>55.216000000000001</v>
      </c>
      <c r="Y69" s="70">
        <f>Inputs!Y185*$I$12</f>
        <v>55.216000000000001</v>
      </c>
      <c r="Z69" s="70">
        <f>Inputs!Z185*$I$12</f>
        <v>55.216000000000001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45.076000000000001</v>
      </c>
      <c r="P70" s="70">
        <f>Inputs!P186*$I$12</f>
        <v>44.982999999999997</v>
      </c>
      <c r="Q70" s="70">
        <f>Inputs!Q186*$I$12</f>
        <v>45.594999999999999</v>
      </c>
      <c r="R70" s="70">
        <f>Inputs!R186*$I$12</f>
        <v>47.040999999999997</v>
      </c>
      <c r="S70" s="70">
        <f>Inputs!S186*$I$12</f>
        <v>47.726999999999997</v>
      </c>
      <c r="T70" s="70">
        <f>Inputs!T186*$I$12</f>
        <v>48.38</v>
      </c>
      <c r="U70" s="70">
        <f>Inputs!U186*$I$12</f>
        <v>49.228999999999999</v>
      </c>
      <c r="V70" s="70">
        <f>Inputs!V186*$I$12</f>
        <v>49.228999999999999</v>
      </c>
      <c r="W70" s="70">
        <f>Inputs!W186*$I$12</f>
        <v>49.228999999999999</v>
      </c>
      <c r="X70" s="70">
        <f>Inputs!X186*$I$12</f>
        <v>49.228999999999999</v>
      </c>
      <c r="Y70" s="70">
        <f>Inputs!Y186*$I$12</f>
        <v>49.228999999999999</v>
      </c>
      <c r="Z70" s="70">
        <f>Inputs!Z186*$I$12</f>
        <v>49.228999999999999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46.432000000000002</v>
      </c>
      <c r="P71" s="70">
        <f>Inputs!P187*$I$12</f>
        <v>46.1038</v>
      </c>
      <c r="Q71" s="70">
        <f>Inputs!Q187*$I$12</f>
        <v>46.882599999999996</v>
      </c>
      <c r="R71" s="70">
        <f>Inputs!R187*$I$12</f>
        <v>48.582700000000003</v>
      </c>
      <c r="S71" s="70">
        <f>Inputs!S187*$I$12</f>
        <v>49.094999999999999</v>
      </c>
      <c r="T71" s="70">
        <f>Inputs!T187*$I$12</f>
        <v>49.844300000000004</v>
      </c>
      <c r="U71" s="70">
        <f>Inputs!U187*$I$12</f>
        <v>51.025099999999995</v>
      </c>
      <c r="V71" s="70">
        <f>Inputs!V187*$I$12</f>
        <v>51.025099999999995</v>
      </c>
      <c r="W71" s="70">
        <f>Inputs!W187*$I$12</f>
        <v>51.025099999999995</v>
      </c>
      <c r="X71" s="70">
        <f>Inputs!X187*$I$12</f>
        <v>51.025099999999995</v>
      </c>
      <c r="Y71" s="70">
        <f>Inputs!Y187*$I$12</f>
        <v>51.025099999999995</v>
      </c>
      <c r="Z71" s="70">
        <f>Inputs!Z187*$I$12</f>
        <v>51.025099999999995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 t="shared" ref="O76:Z76" si="5">MAX(0,O$71-$J$64-$J59)</f>
        <v>0</v>
      </c>
      <c r="P76" s="70">
        <f t="shared" si="5"/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 t="shared" ref="O77:Z77" si="6">MAX(0,O$71-$J$64-$J60)</f>
        <v>0</v>
      </c>
      <c r="P77" s="70">
        <f t="shared" si="6"/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 t="shared" ref="O78:Z78" si="7">MAX(0,O$71-$J$64-$J61)</f>
        <v>46.432000000000002</v>
      </c>
      <c r="P78" s="70">
        <f t="shared" si="7"/>
        <v>46.1038</v>
      </c>
      <c r="Q78" s="70">
        <f t="shared" si="7"/>
        <v>46.882599999999996</v>
      </c>
      <c r="R78" s="70">
        <f t="shared" si="7"/>
        <v>48.582700000000003</v>
      </c>
      <c r="S78" s="70">
        <f t="shared" si="7"/>
        <v>49.094999999999999</v>
      </c>
      <c r="T78" s="70">
        <f t="shared" si="7"/>
        <v>49.844300000000004</v>
      </c>
      <c r="U78" s="70">
        <f t="shared" si="7"/>
        <v>51.025099999999995</v>
      </c>
      <c r="V78" s="70">
        <f t="shared" si="7"/>
        <v>51.025099999999995</v>
      </c>
      <c r="W78" s="70">
        <f t="shared" si="7"/>
        <v>51.025099999999995</v>
      </c>
      <c r="X78" s="70">
        <f t="shared" si="7"/>
        <v>51.025099999999995</v>
      </c>
      <c r="Y78" s="70">
        <f t="shared" si="7"/>
        <v>51.025099999999995</v>
      </c>
      <c r="Z78" s="70">
        <f t="shared" si="7"/>
        <v>51.025099999999995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 t="shared" ref="O79:Z79" si="8">MAX(0,O$71-$J$64-$J62)</f>
        <v>46.432000000000002</v>
      </c>
      <c r="P79" s="70">
        <f t="shared" si="8"/>
        <v>46.1038</v>
      </c>
      <c r="Q79" s="70">
        <f t="shared" si="8"/>
        <v>46.882599999999996</v>
      </c>
      <c r="R79" s="70">
        <f t="shared" si="8"/>
        <v>48.582700000000003</v>
      </c>
      <c r="S79" s="70">
        <f t="shared" si="8"/>
        <v>49.094999999999999</v>
      </c>
      <c r="T79" s="70">
        <f t="shared" si="8"/>
        <v>49.844300000000004</v>
      </c>
      <c r="U79" s="70">
        <f t="shared" si="8"/>
        <v>51.025099999999995</v>
      </c>
      <c r="V79" s="70">
        <f t="shared" si="8"/>
        <v>51.025099999999995</v>
      </c>
      <c r="W79" s="70">
        <f t="shared" si="8"/>
        <v>51.025099999999995</v>
      </c>
      <c r="X79" s="70">
        <f t="shared" si="8"/>
        <v>51.025099999999995</v>
      </c>
      <c r="Y79" s="70">
        <f t="shared" si="8"/>
        <v>51.025099999999995</v>
      </c>
      <c r="Z79" s="70">
        <f t="shared" si="8"/>
        <v>51.025099999999995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 t="shared" ref="O80:Z80" si="9">MAX(0,O$71-$J$64-$J63)</f>
        <v>46.432000000000002</v>
      </c>
      <c r="P80" s="70">
        <f t="shared" si="9"/>
        <v>46.1038</v>
      </c>
      <c r="Q80" s="70">
        <f t="shared" si="9"/>
        <v>46.882599999999996</v>
      </c>
      <c r="R80" s="70">
        <f t="shared" si="9"/>
        <v>48.582700000000003</v>
      </c>
      <c r="S80" s="70">
        <f t="shared" si="9"/>
        <v>49.094999999999999</v>
      </c>
      <c r="T80" s="70">
        <f t="shared" si="9"/>
        <v>49.844300000000004</v>
      </c>
      <c r="U80" s="70">
        <f t="shared" si="9"/>
        <v>51.025099999999995</v>
      </c>
      <c r="V80" s="70">
        <f t="shared" si="9"/>
        <v>51.025099999999995</v>
      </c>
      <c r="W80" s="70">
        <f t="shared" si="9"/>
        <v>51.025099999999995</v>
      </c>
      <c r="X80" s="70">
        <f t="shared" si="9"/>
        <v>51.025099999999995</v>
      </c>
      <c r="Y80" s="70">
        <f t="shared" si="9"/>
        <v>51.025099999999995</v>
      </c>
      <c r="Z80" s="70">
        <f t="shared" si="9"/>
        <v>51.025099999999995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192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193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5</v>
      </c>
      <c r="P91" s="70">
        <f>ROUNDUP(ROUNDUP(P78/Inputs!$J$114,0)/(Inputs!$J$118*Inputs!$J$115*Inputs!$J$114),0)+1</f>
        <v>5</v>
      </c>
      <c r="Q91" s="70">
        <f>ROUNDUP(ROUNDUP(Q78/Inputs!$J$114,0)/(Inputs!$J$118*Inputs!$J$115*Inputs!$J$114),0)+1</f>
        <v>5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6</v>
      </c>
      <c r="U91" s="70">
        <f>ROUNDUP(ROUNDUP(U78/Inputs!$J$114,0)/(Inputs!$J$118*Inputs!$J$115*Inputs!$J$114),0)+1</f>
        <v>6</v>
      </c>
      <c r="V91" s="70">
        <f>ROUNDUP(ROUNDUP(V78/Inputs!$J$114,0)/(Inputs!$J$118*Inputs!$J$115*Inputs!$J$114),0)+1</f>
        <v>6</v>
      </c>
      <c r="W91" s="70">
        <f>ROUNDUP(ROUNDUP(W78/Inputs!$J$114,0)/(Inputs!$J$118*Inputs!$J$115*Inputs!$J$114),0)+1</f>
        <v>6</v>
      </c>
      <c r="X91" s="70">
        <f>ROUNDUP(ROUNDUP(X78/Inputs!$J$114,0)/(Inputs!$J$118*Inputs!$J$115*Inputs!$J$114),0)+1</f>
        <v>6</v>
      </c>
      <c r="Y91" s="70">
        <f>ROUNDUP(ROUNDUP(Y78/Inputs!$J$114,0)/(Inputs!$J$118*Inputs!$J$115*Inputs!$J$114),0)+1</f>
        <v>6</v>
      </c>
      <c r="Z91" s="70">
        <f>ROUNDUP(ROUNDUP(Z78/Inputs!$J$114,0)/(Inputs!$J$118*Inputs!$J$115*Inputs!$J$114),0)+1</f>
        <v>6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1.5</v>
      </c>
      <c r="P92" s="70">
        <f t="shared" ref="P92:Z92" si="15">MAX(0,((P91-1)-1)/2)</f>
        <v>1.5</v>
      </c>
      <c r="Q92" s="70">
        <f t="shared" si="15"/>
        <v>1.5</v>
      </c>
      <c r="R92" s="70">
        <f t="shared" si="15"/>
        <v>2</v>
      </c>
      <c r="S92" s="70">
        <f t="shared" si="15"/>
        <v>2</v>
      </c>
      <c r="T92" s="70">
        <f t="shared" si="15"/>
        <v>2</v>
      </c>
      <c r="U92" s="70">
        <f t="shared" si="15"/>
        <v>2</v>
      </c>
      <c r="V92" s="70">
        <f t="shared" si="15"/>
        <v>2</v>
      </c>
      <c r="W92" s="70">
        <f t="shared" si="15"/>
        <v>2</v>
      </c>
      <c r="X92" s="70">
        <f t="shared" si="15"/>
        <v>2</v>
      </c>
      <c r="Y92" s="70">
        <f t="shared" si="15"/>
        <v>2</v>
      </c>
      <c r="Z92" s="70">
        <f t="shared" si="15"/>
        <v>2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142">
        <f>IFERROR((O91-O92)/O91,0)*MAX(0,O91)</f>
        <v>3.5</v>
      </c>
      <c r="P93" s="93">
        <f t="shared" ref="P93:Z93" si="16">IFERROR((P91-P92)/P91,0)*MAX(0,P91)</f>
        <v>3.5</v>
      </c>
      <c r="Q93" s="93">
        <f t="shared" si="16"/>
        <v>3.5</v>
      </c>
      <c r="R93" s="93">
        <f t="shared" si="16"/>
        <v>4</v>
      </c>
      <c r="S93" s="93">
        <f t="shared" si="16"/>
        <v>4</v>
      </c>
      <c r="T93" s="93">
        <f t="shared" si="16"/>
        <v>4</v>
      </c>
      <c r="U93" s="93">
        <f t="shared" si="16"/>
        <v>4</v>
      </c>
      <c r="V93" s="93">
        <f t="shared" si="16"/>
        <v>4</v>
      </c>
      <c r="W93" s="93">
        <f t="shared" si="16"/>
        <v>4</v>
      </c>
      <c r="X93" s="93">
        <f t="shared" si="16"/>
        <v>4</v>
      </c>
      <c r="Y93" s="93">
        <f t="shared" si="16"/>
        <v>4</v>
      </c>
      <c r="Z93" s="93">
        <f t="shared" si="16"/>
        <v>4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7">MAX(0,((P94-1)-1)/2)</f>
        <v>1.5</v>
      </c>
      <c r="Q95" s="70">
        <f t="shared" si="17"/>
        <v>1.5</v>
      </c>
      <c r="R95" s="70">
        <f t="shared" si="17"/>
        <v>2</v>
      </c>
      <c r="S95" s="70">
        <f t="shared" si="17"/>
        <v>2</v>
      </c>
      <c r="T95" s="70">
        <f t="shared" si="17"/>
        <v>2</v>
      </c>
      <c r="U95" s="70">
        <f t="shared" si="17"/>
        <v>2</v>
      </c>
      <c r="V95" s="70">
        <f t="shared" si="17"/>
        <v>2</v>
      </c>
      <c r="W95" s="70">
        <f t="shared" si="17"/>
        <v>2</v>
      </c>
      <c r="X95" s="70">
        <f t="shared" si="17"/>
        <v>2</v>
      </c>
      <c r="Y95" s="70">
        <f t="shared" si="17"/>
        <v>2</v>
      </c>
      <c r="Z95" s="70">
        <f t="shared" si="17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8">IFERROR((P94-P95)/P94,0)*MAX(0,P94)</f>
        <v>3.5</v>
      </c>
      <c r="Q96" s="93">
        <f t="shared" si="18"/>
        <v>3.5</v>
      </c>
      <c r="R96" s="93">
        <f t="shared" si="18"/>
        <v>4</v>
      </c>
      <c r="S96" s="93">
        <f t="shared" si="18"/>
        <v>4</v>
      </c>
      <c r="T96" s="93">
        <f t="shared" si="18"/>
        <v>4</v>
      </c>
      <c r="U96" s="93">
        <f t="shared" si="18"/>
        <v>4</v>
      </c>
      <c r="V96" s="93">
        <f t="shared" si="18"/>
        <v>4</v>
      </c>
      <c r="W96" s="93">
        <f t="shared" si="18"/>
        <v>4</v>
      </c>
      <c r="X96" s="93">
        <f t="shared" si="18"/>
        <v>4</v>
      </c>
      <c r="Y96" s="93">
        <f t="shared" si="18"/>
        <v>4</v>
      </c>
      <c r="Z96" s="93">
        <f t="shared" si="18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9">MAX(0,((P97-1)-1)/2)</f>
        <v>1.5</v>
      </c>
      <c r="Q98" s="70">
        <f t="shared" si="19"/>
        <v>1.5</v>
      </c>
      <c r="R98" s="70">
        <f t="shared" si="19"/>
        <v>2</v>
      </c>
      <c r="S98" s="70">
        <f t="shared" si="19"/>
        <v>2</v>
      </c>
      <c r="T98" s="70">
        <f t="shared" si="19"/>
        <v>2</v>
      </c>
      <c r="U98" s="70">
        <f t="shared" si="19"/>
        <v>2</v>
      </c>
      <c r="V98" s="70">
        <f t="shared" si="19"/>
        <v>2</v>
      </c>
      <c r="W98" s="70">
        <f t="shared" si="19"/>
        <v>2</v>
      </c>
      <c r="X98" s="70">
        <f t="shared" si="19"/>
        <v>2</v>
      </c>
      <c r="Y98" s="70">
        <f t="shared" si="19"/>
        <v>2</v>
      </c>
      <c r="Z98" s="70">
        <f t="shared" si="19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20">IFERROR((P97-P98)/P97,0)*MAX(0,P97)</f>
        <v>3.5</v>
      </c>
      <c r="Q99" s="93">
        <f t="shared" si="20"/>
        <v>3.5</v>
      </c>
      <c r="R99" s="93">
        <f t="shared" si="20"/>
        <v>4</v>
      </c>
      <c r="S99" s="93">
        <f t="shared" si="20"/>
        <v>4</v>
      </c>
      <c r="T99" s="93">
        <f t="shared" si="20"/>
        <v>4</v>
      </c>
      <c r="U99" s="93">
        <f t="shared" si="20"/>
        <v>4</v>
      </c>
      <c r="V99" s="93">
        <f t="shared" si="20"/>
        <v>4</v>
      </c>
      <c r="W99" s="93">
        <f t="shared" si="20"/>
        <v>4</v>
      </c>
      <c r="X99" s="93">
        <f t="shared" si="20"/>
        <v>4</v>
      </c>
      <c r="Y99" s="93">
        <f t="shared" si="20"/>
        <v>4</v>
      </c>
      <c r="Z99" s="93">
        <f t="shared" si="20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724863.30260179751</v>
      </c>
      <c r="P103" s="138">
        <f>IF(Inputs!$J$126&gt;0,P71*Inputs!$M$81/Inputs!$M$80*Inputs!$M$75*Inputs!$J$126,P77*Inputs!$M$75*P90*Inputs!$J$123)*$I$13</f>
        <v>719739.67803438904</v>
      </c>
      <c r="Q103" s="138">
        <f>IF(Inputs!$J$126&gt;0,Q71*Inputs!$M$81/Inputs!$M$80*Inputs!$M$75*Inputs!$J$126,Q77*Inputs!$M$75*Q90*Inputs!$J$123)*$I$13</f>
        <v>731897.74876290117</v>
      </c>
      <c r="R103" s="138">
        <f>IF(Inputs!$J$126&gt;0,R71*Inputs!$M$81/Inputs!$M$80*Inputs!$M$75*Inputs!$J$126,R77*Inputs!$M$75*R90*Inputs!$J$123)*$I$13</f>
        <v>758438.49869297782</v>
      </c>
      <c r="S103" s="138">
        <f>IF(Inputs!$J$126&gt;0,S71*Inputs!$M$81/Inputs!$M$80*Inputs!$M$75*Inputs!$J$126,S77*Inputs!$M$75*S90*Inputs!$J$123)*$I$13</f>
        <v>766436.16129469429</v>
      </c>
      <c r="T103" s="138">
        <f>IF(Inputs!$J$126&gt;0,T71*Inputs!$M$81/Inputs!$M$80*Inputs!$M$75*Inputs!$J$126,T77*Inputs!$M$75*T90*Inputs!$J$123)*$I$13</f>
        <v>778133.69904106599</v>
      </c>
      <c r="U103" s="138">
        <f>IF(Inputs!$J$126&gt;0,U71*Inputs!$M$81/Inputs!$M$80*Inputs!$M$75*Inputs!$J$126,U77*Inputs!$M$75*U90*Inputs!$J$123)*$I$13</f>
        <v>796567.50735671457</v>
      </c>
      <c r="V103" s="138">
        <f>IF(Inputs!$J$126&gt;0,V71*Inputs!$M$81/Inputs!$M$80*Inputs!$M$75*Inputs!$J$126,V77*Inputs!$M$75*V90*Inputs!$J$123)*$I$13</f>
        <v>796567.50735671457</v>
      </c>
      <c r="W103" s="138">
        <f>IF(Inputs!$J$126&gt;0,W71*Inputs!$M$81/Inputs!$M$80*Inputs!$M$75*Inputs!$J$126,W77*Inputs!$M$75*W90*Inputs!$J$123)*$I$13</f>
        <v>796567.50735671457</v>
      </c>
      <c r="X103" s="138">
        <f>IF(Inputs!$J$126&gt;0,X71*Inputs!$M$81/Inputs!$M$80*Inputs!$M$75*Inputs!$J$126,X77*Inputs!$M$75*X90*Inputs!$J$123)*$I$13</f>
        <v>796567.50735671457</v>
      </c>
      <c r="Y103" s="138">
        <f>IF(Inputs!$J$126&gt;0,Y71*Inputs!$M$81/Inputs!$M$80*Inputs!$M$75*Inputs!$J$126,Y77*Inputs!$M$75*Y90*Inputs!$J$123)*$I$13</f>
        <v>796567.50735671457</v>
      </c>
      <c r="Z103" s="138">
        <f>IF(Inputs!$J$126&gt;0,Z71*Inputs!$M$81/Inputs!$M$80*Inputs!$M$75*Inputs!$J$126,Z77*Inputs!$M$75*Z90*Inputs!$J$123)*$I$13</f>
        <v>796567.50735671457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1449726.605203595</v>
      </c>
      <c r="P105" s="138">
        <f>IF(Inputs!$K$126&gt;0,P71*Inputs!$M$82/Inputs!$M$80*Inputs!$M$75*Inputs!$K$126,P78*Inputs!$M$75*P93*Inputs!$J$123)*$I$13</f>
        <v>1439479.3560687781</v>
      </c>
      <c r="Q105" s="138">
        <f>IF(Inputs!$K$126&gt;0,Q71*Inputs!$M$82/Inputs!$M$80*Inputs!$M$75*Inputs!$K$126,Q78*Inputs!$M$75*Q93*Inputs!$J$123)*$I$13</f>
        <v>1463795.4975258023</v>
      </c>
      <c r="R105" s="138">
        <f>IF(Inputs!$K$126&gt;0,R71*Inputs!$M$82/Inputs!$M$80*Inputs!$M$75*Inputs!$K$126,R78*Inputs!$M$75*R93*Inputs!$J$123)*$I$13</f>
        <v>1516876.9973859556</v>
      </c>
      <c r="S105" s="138">
        <f>IF(Inputs!$K$126&gt;0,S71*Inputs!$M$82/Inputs!$M$80*Inputs!$M$75*Inputs!$K$126,S78*Inputs!$M$75*S93*Inputs!$J$123)*$I$13</f>
        <v>1532872.3225893886</v>
      </c>
      <c r="T105" s="138">
        <f>IF(Inputs!$K$126&gt;0,T71*Inputs!$M$82/Inputs!$M$80*Inputs!$M$75*Inputs!$K$126,T78*Inputs!$M$75*T93*Inputs!$J$123)*$I$13</f>
        <v>1556267.398082132</v>
      </c>
      <c r="U105" s="138">
        <f>IF(Inputs!$K$126&gt;0,U71*Inputs!$M$82/Inputs!$M$80*Inputs!$M$75*Inputs!$K$126,U78*Inputs!$M$75*U93*Inputs!$J$123)*$I$13</f>
        <v>1593135.0147134291</v>
      </c>
      <c r="V105" s="138">
        <f>IF(Inputs!$K$126&gt;0,V71*Inputs!$M$82/Inputs!$M$80*Inputs!$M$75*Inputs!$K$126,V78*Inputs!$M$75*V93*Inputs!$J$123)*$I$13</f>
        <v>1593135.0147134291</v>
      </c>
      <c r="W105" s="138">
        <f>IF(Inputs!$K$126&gt;0,W71*Inputs!$M$82/Inputs!$M$80*Inputs!$M$75*Inputs!$K$126,W78*Inputs!$M$75*W93*Inputs!$J$123)*$I$13</f>
        <v>1593135.0147134291</v>
      </c>
      <c r="X105" s="138">
        <f>IF(Inputs!$K$126&gt;0,X71*Inputs!$M$82/Inputs!$M$80*Inputs!$M$75*Inputs!$K$126,X78*Inputs!$M$75*X93*Inputs!$J$123)*$I$13</f>
        <v>1593135.0147134291</v>
      </c>
      <c r="Y105" s="138">
        <f>IF(Inputs!$K$126&gt;0,Y71*Inputs!$M$82/Inputs!$M$80*Inputs!$M$75*Inputs!$K$126,Y78*Inputs!$M$75*Y93*Inputs!$J$123)*$I$13</f>
        <v>1593135.0147134291</v>
      </c>
      <c r="Z105" s="138">
        <f>IF(Inputs!$K$126&gt;0,Z71*Inputs!$M$82/Inputs!$M$80*Inputs!$M$75*Inputs!$K$126,Z78*Inputs!$M$75*Z93*Inputs!$J$123)*$I$13</f>
        <v>1593135.0147134291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0.10963779055370652</v>
      </c>
      <c r="P114" s="56">
        <f>Inputs!P64*$I$9</f>
        <v>0.11795860673347112</v>
      </c>
      <c r="Q114" s="56">
        <f>Inputs!Q64*$I$9</f>
        <v>0.12699593898382874</v>
      </c>
      <c r="R114" s="56">
        <f>Inputs!R64*$I$9</f>
        <v>0.13681499061516583</v>
      </c>
      <c r="S114" s="56">
        <f>Inputs!S64*$I$9</f>
        <v>0.14748709806572163</v>
      </c>
      <c r="T114" s="56">
        <f>Inputs!T64*$I$9</f>
        <v>0.15909031989132541</v>
      </c>
      <c r="U114" s="56">
        <f>Inputs!U64*$I$9</f>
        <v>0.17171008308527377</v>
      </c>
      <c r="V114" s="56">
        <f>Inputs!V64*$I$9</f>
        <v>0.18543989235849376</v>
      </c>
      <c r="W114" s="56">
        <f>Inputs!W64*$I$9</f>
        <v>0.20038210856632546</v>
      </c>
      <c r="X114" s="56">
        <f>Inputs!X64*$I$9</f>
        <v>0.21664880307959619</v>
      </c>
      <c r="Y114" s="56">
        <f>Inputs!Y64*$I$9</f>
        <v>0.2343626955696583</v>
      </c>
      <c r="Z114" s="56">
        <f>Inputs!Z64*$I$9</f>
        <v>0.25365818341571406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1.3704723819213315E-3</v>
      </c>
      <c r="P115" s="56">
        <f>Inputs!P65*$I$9</f>
        <v>1.4744825841683882E-3</v>
      </c>
      <c r="Q115" s="56">
        <f>Inputs!Q65*$I$9</f>
        <v>1.5874492372978596E-3</v>
      </c>
      <c r="R115" s="56">
        <f>Inputs!R65*$I$9</f>
        <v>1.7101873826895727E-3</v>
      </c>
      <c r="S115" s="56">
        <f>Inputs!S65*$I$9</f>
        <v>1.8435887258215207E-3</v>
      </c>
      <c r="T115" s="56">
        <f>Inputs!T65*$I$9</f>
        <v>1.9886289986415662E-3</v>
      </c>
      <c r="U115" s="56">
        <f>Inputs!U65*$I$9</f>
        <v>2.1463760385659215E-3</v>
      </c>
      <c r="V115" s="56">
        <f>Inputs!V65*$I$9</f>
        <v>2.3179986544811723E-3</v>
      </c>
      <c r="W115" s="56">
        <f>Inputs!W65*$I$9</f>
        <v>2.5047763570790671E-3</v>
      </c>
      <c r="X115" s="56">
        <f>Inputs!X65*$I$9</f>
        <v>2.7081100384949521E-3</v>
      </c>
      <c r="Y115" s="56">
        <f>Inputs!Y65*$I$9</f>
        <v>2.9295336946207283E-3</v>
      </c>
      <c r="Z115" s="56">
        <f>Inputs!Z65*$I$9</f>
        <v>3.1707272926964247E-3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79472.410950723875</v>
      </c>
      <c r="P119" s="70">
        <f t="shared" ref="P119:Z119" si="21">P103*P114*$T$37</f>
        <v>84899.489631733624</v>
      </c>
      <c r="Q119" s="70">
        <f t="shared" si="21"/>
        <v>92948.041844295018</v>
      </c>
      <c r="R119" s="70">
        <f t="shared" si="21"/>
        <v>103765.75608086023</v>
      </c>
      <c r="S119" s="70">
        <f t="shared" si="21"/>
        <v>113039.44528198583</v>
      </c>
      <c r="T119" s="70">
        <f t="shared" si="21"/>
        <v>123793.53909866352</v>
      </c>
      <c r="U119" s="70">
        <f t="shared" si="21"/>
        <v>136778.67287125089</v>
      </c>
      <c r="V119" s="70">
        <f t="shared" si="21"/>
        <v>147715.39282050284</v>
      </c>
      <c r="W119" s="70">
        <f t="shared" si="21"/>
        <v>159617.87673956042</v>
      </c>
      <c r="X119" s="70">
        <f t="shared" si="21"/>
        <v>172575.39704092965</v>
      </c>
      <c r="Y119" s="70">
        <f t="shared" si="21"/>
        <v>186685.70822732325</v>
      </c>
      <c r="Z119" s="70">
        <f t="shared" si="21"/>
        <v>202055.86688408765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138">
        <f>O105*O115*$T$27</f>
        <v>1986.8102737680967</v>
      </c>
      <c r="P120" s="138">
        <f t="shared" ref="P120:Z120" si="24">P105*P115*$T$27</f>
        <v>2122.4872407933394</v>
      </c>
      <c r="Q120" s="138">
        <f t="shared" si="24"/>
        <v>2323.701046107376</v>
      </c>
      <c r="R120" s="138">
        <f t="shared" si="24"/>
        <v>2594.1439020215053</v>
      </c>
      <c r="S120" s="138">
        <f t="shared" si="24"/>
        <v>2825.9861320496461</v>
      </c>
      <c r="T120" s="138">
        <f t="shared" si="24"/>
        <v>3094.838477466586</v>
      </c>
      <c r="U120" s="138">
        <f t="shared" si="24"/>
        <v>3419.4668217812709</v>
      </c>
      <c r="V120" s="138">
        <f t="shared" si="24"/>
        <v>3692.8848205125714</v>
      </c>
      <c r="W120" s="138">
        <f t="shared" si="24"/>
        <v>3990.446918489009</v>
      </c>
      <c r="X120" s="138">
        <f t="shared" si="24"/>
        <v>4314.384926023241</v>
      </c>
      <c r="Y120" s="138">
        <f t="shared" si="24"/>
        <v>4667.1427056830807</v>
      </c>
      <c r="Z120" s="138">
        <f t="shared" si="24"/>
        <v>5051.3966721021898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22"/>
        <v>Network Performance</v>
      </c>
      <c r="E121" s="51"/>
      <c r="F121" s="51"/>
      <c r="G121" s="51"/>
      <c r="H121" s="51"/>
      <c r="I121" s="51"/>
      <c r="J121" s="86" t="str">
        <f t="shared" si="23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5">SUMIF($J$49:$J$51,$J124,$V$49:$V$51)*O114</f>
        <v>15104.089511841816</v>
      </c>
      <c r="P124" s="70">
        <f t="shared" si="25"/>
        <v>16250.394556443951</v>
      </c>
      <c r="Q124" s="70">
        <f t="shared" si="25"/>
        <v>17495.409387263539</v>
      </c>
      <c r="R124" s="70">
        <f t="shared" si="25"/>
        <v>18848.116642782908</v>
      </c>
      <c r="S124" s="70">
        <f t="shared" si="25"/>
        <v>20318.343882853274</v>
      </c>
      <c r="T124" s="70">
        <f t="shared" si="25"/>
        <v>21916.844730002562</v>
      </c>
      <c r="U124" s="70">
        <f t="shared" si="25"/>
        <v>23655.38790874595</v>
      </c>
      <c r="V124" s="70">
        <f t="shared" si="25"/>
        <v>25546.8549585279</v>
      </c>
      <c r="W124" s="70">
        <f t="shared" si="25"/>
        <v>27605.347472546859</v>
      </c>
      <c r="X124" s="70">
        <f t="shared" si="25"/>
        <v>29846.304798933998</v>
      </c>
      <c r="Y124" s="70">
        <f t="shared" si="25"/>
        <v>32286.633233334353</v>
      </c>
      <c r="Z124" s="70">
        <f t="shared" si="25"/>
        <v>34944.84783369807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6">SUMIF($J$49:$J$51,$J125,$V$49:$V$51)*O115</f>
        <v>430.0652116334648</v>
      </c>
      <c r="P125" s="70">
        <f t="shared" si="26"/>
        <v>462.70444627364714</v>
      </c>
      <c r="Q125" s="70">
        <f t="shared" si="26"/>
        <v>498.15428694649563</v>
      </c>
      <c r="R125" s="70">
        <f t="shared" si="26"/>
        <v>536.67050016589928</v>
      </c>
      <c r="S125" s="70">
        <f t="shared" si="26"/>
        <v>578.53291025387068</v>
      </c>
      <c r="T125" s="70">
        <f t="shared" si="26"/>
        <v>624.0477097117622</v>
      </c>
      <c r="U125" s="70">
        <f t="shared" si="26"/>
        <v>673.54999447470664</v>
      </c>
      <c r="V125" s="70">
        <f t="shared" si="26"/>
        <v>727.4065461340731</v>
      </c>
      <c r="W125" s="70">
        <f t="shared" si="26"/>
        <v>786.01888539446895</v>
      </c>
      <c r="X125" s="70">
        <f t="shared" si="26"/>
        <v>849.82662342983042</v>
      </c>
      <c r="Y125" s="70">
        <f t="shared" si="26"/>
        <v>919.31114043912953</v>
      </c>
      <c r="Z125" s="70">
        <f t="shared" si="26"/>
        <v>994.99962359968663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7">SUMIF($J$49:$J$51,$J126,$V$49:$V$51)*O116</f>
        <v>0</v>
      </c>
      <c r="P126" s="70">
        <f t="shared" si="27"/>
        <v>0</v>
      </c>
      <c r="Q126" s="70">
        <f t="shared" si="27"/>
        <v>0</v>
      </c>
      <c r="R126" s="70">
        <f t="shared" si="27"/>
        <v>0</v>
      </c>
      <c r="S126" s="70">
        <f t="shared" si="27"/>
        <v>0</v>
      </c>
      <c r="T126" s="70">
        <f t="shared" si="27"/>
        <v>0</v>
      </c>
      <c r="U126" s="70">
        <f t="shared" si="27"/>
        <v>0</v>
      </c>
      <c r="V126" s="70">
        <f t="shared" si="27"/>
        <v>0</v>
      </c>
      <c r="W126" s="70">
        <f t="shared" si="27"/>
        <v>0</v>
      </c>
      <c r="X126" s="70">
        <f t="shared" si="27"/>
        <v>0</v>
      </c>
      <c r="Y126" s="70">
        <f t="shared" si="27"/>
        <v>0</v>
      </c>
      <c r="Z126" s="70">
        <f t="shared" si="27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5706.616566371682</v>
      </c>
      <c r="P127" s="70">
        <f>Inputs!$J$27*$I$11</f>
        <v>5706.616566371682</v>
      </c>
      <c r="Q127" s="70">
        <f>Inputs!$J$27*$I$11</f>
        <v>5706.616566371682</v>
      </c>
      <c r="R127" s="70">
        <f>Inputs!$J$27*$I$11</f>
        <v>5706.616566371682</v>
      </c>
      <c r="S127" s="70">
        <f>Inputs!$J$27*$I$11</f>
        <v>5706.616566371682</v>
      </c>
      <c r="T127" s="70">
        <f>Inputs!$J$27*$I$11</f>
        <v>5706.616566371682</v>
      </c>
      <c r="U127" s="70">
        <f>Inputs!$J$27*$I$11</f>
        <v>5706.616566371682</v>
      </c>
      <c r="V127" s="70">
        <f>Inputs!$J$27*$I$11</f>
        <v>5706.616566371682</v>
      </c>
      <c r="W127" s="70">
        <f>Inputs!$J$27*$I$11</f>
        <v>5706.616566371682</v>
      </c>
      <c r="X127" s="70">
        <f>Inputs!$J$27*$I$11</f>
        <v>5706.616566371682</v>
      </c>
      <c r="Y127" s="70">
        <f>Inputs!$J$27*$I$11</f>
        <v>5706.616566371682</v>
      </c>
      <c r="Z127" s="70">
        <f>Inputs!$J$27*$I$11</f>
        <v>5706.616566371682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102699.99251433894</v>
      </c>
      <c r="P128" s="98">
        <f t="shared" ref="P128:Z128" si="28">SUM(P119:P127)</f>
        <v>109441.69244161625</v>
      </c>
      <c r="Q128" s="98">
        <f t="shared" si="28"/>
        <v>118971.92313098411</v>
      </c>
      <c r="R128" s="98">
        <f t="shared" si="28"/>
        <v>131451.3036922022</v>
      </c>
      <c r="S128" s="98">
        <f t="shared" si="28"/>
        <v>142468.92477351433</v>
      </c>
      <c r="T128" s="98">
        <f t="shared" si="28"/>
        <v>155135.88658221613</v>
      </c>
      <c r="U128" s="98">
        <f t="shared" si="28"/>
        <v>170233.69416262448</v>
      </c>
      <c r="V128" s="98">
        <f t="shared" si="28"/>
        <v>183389.15571204905</v>
      </c>
      <c r="W128" s="98">
        <f t="shared" si="28"/>
        <v>197706.30658236245</v>
      </c>
      <c r="X128" s="98">
        <f t="shared" si="28"/>
        <v>213292.5299556884</v>
      </c>
      <c r="Y128" s="98">
        <f t="shared" si="28"/>
        <v>230265.41187315149</v>
      </c>
      <c r="Z128" s="98">
        <f t="shared" si="28"/>
        <v>248753.72757985926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0</v>
      </c>
      <c r="S135" s="70">
        <f>Inputs!S22*'Base Case'!$I$10</f>
        <v>1165778.7610619469</v>
      </c>
      <c r="T135" s="70">
        <f>Inputs!T22*'Base Case'!$I$10</f>
        <v>0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9">(P135&lt;&gt;0)*1</f>
        <v>0</v>
      </c>
      <c r="Q136" s="70">
        <f t="shared" si="29"/>
        <v>0</v>
      </c>
      <c r="R136" s="70">
        <f t="shared" si="29"/>
        <v>0</v>
      </c>
      <c r="S136" s="70">
        <f t="shared" si="29"/>
        <v>1</v>
      </c>
      <c r="T136" s="70">
        <f t="shared" si="29"/>
        <v>0</v>
      </c>
      <c r="U136" s="70">
        <f t="shared" si="29"/>
        <v>0</v>
      </c>
      <c r="V136" s="70">
        <f t="shared" si="29"/>
        <v>0</v>
      </c>
      <c r="W136" s="70">
        <f t="shared" si="29"/>
        <v>0</v>
      </c>
      <c r="X136" s="70">
        <f t="shared" si="29"/>
        <v>0</v>
      </c>
      <c r="Y136" s="70">
        <f t="shared" si="29"/>
        <v>0</v>
      </c>
      <c r="Z136" s="70">
        <f t="shared" si="29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65097.055123856961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4779.1747964601773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69876.229920317142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0">O2</f>
        <v>2019</v>
      </c>
      <c r="P146" s="86">
        <f t="shared" si="30"/>
        <v>2020</v>
      </c>
      <c r="Q146" s="86">
        <f t="shared" si="30"/>
        <v>2021</v>
      </c>
      <c r="R146" s="86">
        <f t="shared" si="30"/>
        <v>2022</v>
      </c>
      <c r="S146" s="86">
        <f t="shared" si="30"/>
        <v>2023</v>
      </c>
      <c r="T146" s="86">
        <f t="shared" si="30"/>
        <v>2024</v>
      </c>
      <c r="U146" s="86">
        <f t="shared" si="30"/>
        <v>2025</v>
      </c>
      <c r="V146" s="86">
        <f t="shared" si="30"/>
        <v>2026</v>
      </c>
      <c r="W146" s="86">
        <f t="shared" si="30"/>
        <v>2027</v>
      </c>
      <c r="X146" s="86">
        <f t="shared" si="30"/>
        <v>2028</v>
      </c>
      <c r="Y146" s="86">
        <f t="shared" si="30"/>
        <v>2029</v>
      </c>
      <c r="Z146" s="86">
        <f t="shared" si="30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102699.99251433894</v>
      </c>
      <c r="P147" s="70">
        <f t="shared" ref="P147:Z147" si="31">P128</f>
        <v>109441.69244161625</v>
      </c>
      <c r="Q147" s="70">
        <f t="shared" si="31"/>
        <v>118971.92313098411</v>
      </c>
      <c r="R147" s="70">
        <f t="shared" si="31"/>
        <v>131451.3036922022</v>
      </c>
      <c r="S147" s="70">
        <f t="shared" si="31"/>
        <v>142468.92477351433</v>
      </c>
      <c r="T147" s="70">
        <f t="shared" si="31"/>
        <v>155135.88658221613</v>
      </c>
      <c r="U147" s="70">
        <f t="shared" si="31"/>
        <v>170233.69416262448</v>
      </c>
      <c r="V147" s="70">
        <f t="shared" si="31"/>
        <v>183389.15571204905</v>
      </c>
      <c r="W147" s="70">
        <f t="shared" si="31"/>
        <v>197706.30658236245</v>
      </c>
      <c r="X147" s="70">
        <f t="shared" si="31"/>
        <v>213292.5299556884</v>
      </c>
      <c r="Y147" s="70">
        <f t="shared" si="31"/>
        <v>230265.41187315149</v>
      </c>
      <c r="Z147" s="70">
        <f t="shared" si="31"/>
        <v>248753.72757985926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69876.229920317142</v>
      </c>
      <c r="P148" s="70">
        <f t="shared" ref="P148:Z148" si="32">$J$140</f>
        <v>69876.229920317142</v>
      </c>
      <c r="Q148" s="70">
        <f t="shared" si="32"/>
        <v>69876.229920317142</v>
      </c>
      <c r="R148" s="70">
        <f t="shared" si="32"/>
        <v>69876.229920317142</v>
      </c>
      <c r="S148" s="70">
        <f t="shared" si="32"/>
        <v>69876.229920317142</v>
      </c>
      <c r="T148" s="70">
        <f t="shared" si="32"/>
        <v>69876.229920317142</v>
      </c>
      <c r="U148" s="70">
        <f t="shared" si="32"/>
        <v>69876.229920317142</v>
      </c>
      <c r="V148" s="70">
        <f t="shared" si="32"/>
        <v>69876.229920317142</v>
      </c>
      <c r="W148" s="70">
        <f t="shared" si="32"/>
        <v>69876.229920317142</v>
      </c>
      <c r="X148" s="70">
        <f t="shared" si="32"/>
        <v>69876.229920317142</v>
      </c>
      <c r="Y148" s="70">
        <f t="shared" si="32"/>
        <v>69876.229920317142</v>
      </c>
      <c r="Z148" s="70">
        <f t="shared" si="32"/>
        <v>69876.229920317142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3">(P147&gt;=P148)</f>
        <v>1</v>
      </c>
      <c r="Q149" s="99" t="b">
        <f t="shared" si="33"/>
        <v>1</v>
      </c>
      <c r="R149" s="99" t="b">
        <f t="shared" si="33"/>
        <v>1</v>
      </c>
      <c r="S149" s="99" t="b">
        <f t="shared" si="33"/>
        <v>1</v>
      </c>
      <c r="T149" s="99" t="b">
        <f t="shared" si="33"/>
        <v>1</v>
      </c>
      <c r="U149" s="99" t="b">
        <f t="shared" si="33"/>
        <v>1</v>
      </c>
      <c r="V149" s="99" t="b">
        <f t="shared" si="33"/>
        <v>1</v>
      </c>
      <c r="W149" s="99" t="b">
        <f t="shared" si="33"/>
        <v>1</v>
      </c>
      <c r="X149" s="99" t="b">
        <f t="shared" si="33"/>
        <v>1</v>
      </c>
      <c r="Y149" s="99" t="b">
        <f t="shared" si="33"/>
        <v>1</v>
      </c>
      <c r="Z149" s="99" t="b">
        <f t="shared" si="33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R30" sqref="R30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TK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1239516.2474490737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1239516.2474490737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256471.32743362832</v>
      </c>
      <c r="S30" s="72">
        <v>0</v>
      </c>
      <c r="T30" s="73">
        <f>'Base Case'!$T30</f>
        <v>1</v>
      </c>
      <c r="U30" s="74">
        <f t="shared" si="0"/>
        <v>256471.32743362832</v>
      </c>
      <c r="V30" s="75">
        <f t="shared" si="1"/>
        <v>256471.32743362832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619758.12372453685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619758.12372453685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85490.442477876102</v>
      </c>
      <c r="S40" s="72">
        <v>0</v>
      </c>
      <c r="T40" s="73">
        <f>'Base Case'!$T40</f>
        <v>1</v>
      </c>
      <c r="U40" s="74">
        <f t="shared" si="0"/>
        <v>85490.442477876102</v>
      </c>
      <c r="V40" s="75">
        <f t="shared" si="1"/>
        <v>85490.442477876102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619758.12372453685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85490.442477876102</v>
      </c>
      <c r="S49" s="70">
        <f t="shared" si="2"/>
        <v>3590.5985840707963</v>
      </c>
      <c r="T49" s="56">
        <f>U49/SUM(O49:S49)</f>
        <v>1</v>
      </c>
      <c r="U49" s="70">
        <f t="shared" si="2"/>
        <v>770075.79990139115</v>
      </c>
      <c r="V49" s="70">
        <f t="shared" si="2"/>
        <v>150317.67617685429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1239516.2474490737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256471.32743362832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1580422.1376078867</v>
      </c>
      <c r="V50" s="70">
        <f t="shared" si="3"/>
        <v>340905.89015881298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2350497.9375092778</v>
      </c>
      <c r="V52" s="88">
        <f>SUM(V49:V51)</f>
        <v>491223.56633566727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52.9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47.116199999999992</v>
      </c>
      <c r="P69" s="70">
        <f>Inputs!P185*$I$12</f>
        <v>46.283049999999996</v>
      </c>
      <c r="Q69" s="70">
        <f>Inputs!Q185*$I$12</f>
        <v>47.392649999999996</v>
      </c>
      <c r="R69" s="70">
        <f>Inputs!R185*$I$12</f>
        <v>49.570999999999998</v>
      </c>
      <c r="S69" s="70">
        <f>Inputs!S185*$I$12</f>
        <v>49.672649999999997</v>
      </c>
      <c r="T69" s="70">
        <f>Inputs!T185*$I$12</f>
        <v>50.597949999999997</v>
      </c>
      <c r="U69" s="70">
        <f>Inputs!U185*$I$12</f>
        <v>52.455199999999998</v>
      </c>
      <c r="V69" s="70">
        <f>Inputs!V185*$I$12</f>
        <v>52.455199999999998</v>
      </c>
      <c r="W69" s="70">
        <f>Inputs!W185*$I$12</f>
        <v>52.455199999999998</v>
      </c>
      <c r="X69" s="70">
        <f>Inputs!X185*$I$12</f>
        <v>52.455199999999998</v>
      </c>
      <c r="Y69" s="70">
        <f>Inputs!Y185*$I$12</f>
        <v>52.455199999999998</v>
      </c>
      <c r="Z69" s="70">
        <f>Inputs!Z185*$I$12</f>
        <v>52.455199999999998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42.822199999999995</v>
      </c>
      <c r="P70" s="70">
        <f>Inputs!P186*$I$12</f>
        <v>42.733849999999997</v>
      </c>
      <c r="Q70" s="70">
        <f>Inputs!Q186*$I$12</f>
        <v>43.315249999999999</v>
      </c>
      <c r="R70" s="70">
        <f>Inputs!R186*$I$12</f>
        <v>44.688949999999998</v>
      </c>
      <c r="S70" s="70">
        <f>Inputs!S186*$I$12</f>
        <v>45.340649999999997</v>
      </c>
      <c r="T70" s="70">
        <f>Inputs!T186*$I$12</f>
        <v>45.960999999999999</v>
      </c>
      <c r="U70" s="70">
        <f>Inputs!U186*$I$12</f>
        <v>46.76755</v>
      </c>
      <c r="V70" s="70">
        <f>Inputs!V186*$I$12</f>
        <v>46.76755</v>
      </c>
      <c r="W70" s="70">
        <f>Inputs!W186*$I$12</f>
        <v>46.76755</v>
      </c>
      <c r="X70" s="70">
        <f>Inputs!X186*$I$12</f>
        <v>46.76755</v>
      </c>
      <c r="Y70" s="70">
        <f>Inputs!Y186*$I$12</f>
        <v>46.76755</v>
      </c>
      <c r="Z70" s="70">
        <f>Inputs!Z186*$I$12</f>
        <v>46.76755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44.110399999999998</v>
      </c>
      <c r="P71" s="70">
        <f>Inputs!P187*$I$12</f>
        <v>43.798609999999996</v>
      </c>
      <c r="Q71" s="70">
        <f>Inputs!Q187*$I$12</f>
        <v>44.538469999999997</v>
      </c>
      <c r="R71" s="70">
        <f>Inputs!R187*$I$12</f>
        <v>46.153565</v>
      </c>
      <c r="S71" s="70">
        <f>Inputs!S187*$I$12</f>
        <v>46.640249999999995</v>
      </c>
      <c r="T71" s="70">
        <f>Inputs!T187*$I$12</f>
        <v>47.352085000000002</v>
      </c>
      <c r="U71" s="70">
        <f>Inputs!U187*$I$12</f>
        <v>48.47384499999999</v>
      </c>
      <c r="V71" s="70">
        <f>Inputs!V187*$I$12</f>
        <v>48.47384499999999</v>
      </c>
      <c r="W71" s="70">
        <f>Inputs!W187*$I$12</f>
        <v>48.47384499999999</v>
      </c>
      <c r="X71" s="70">
        <f>Inputs!X187*$I$12</f>
        <v>48.47384499999999</v>
      </c>
      <c r="Y71" s="70">
        <f>Inputs!Y187*$I$12</f>
        <v>48.47384499999999</v>
      </c>
      <c r="Z71" s="70">
        <f>Inputs!Z187*$I$12</f>
        <v>48.47384499999999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44.110399999999998</v>
      </c>
      <c r="P78" s="70">
        <f t="shared" si="5"/>
        <v>43.798609999999996</v>
      </c>
      <c r="Q78" s="70">
        <f t="shared" si="5"/>
        <v>44.538469999999997</v>
      </c>
      <c r="R78" s="70">
        <f t="shared" si="5"/>
        <v>46.153565</v>
      </c>
      <c r="S78" s="70">
        <f t="shared" si="5"/>
        <v>46.640249999999995</v>
      </c>
      <c r="T78" s="70">
        <f t="shared" si="5"/>
        <v>47.352085000000002</v>
      </c>
      <c r="U78" s="70">
        <f t="shared" si="5"/>
        <v>48.47384499999999</v>
      </c>
      <c r="V78" s="70">
        <f t="shared" si="5"/>
        <v>48.47384499999999</v>
      </c>
      <c r="W78" s="70">
        <f t="shared" si="5"/>
        <v>48.47384499999999</v>
      </c>
      <c r="X78" s="70">
        <f t="shared" si="5"/>
        <v>48.47384499999999</v>
      </c>
      <c r="Y78" s="70">
        <f t="shared" si="5"/>
        <v>48.47384499999999</v>
      </c>
      <c r="Z78" s="70">
        <f t="shared" si="5"/>
        <v>48.47384499999999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44.110399999999998</v>
      </c>
      <c r="P79" s="70">
        <f t="shared" si="5"/>
        <v>43.798609999999996</v>
      </c>
      <c r="Q79" s="70">
        <f t="shared" si="5"/>
        <v>44.538469999999997</v>
      </c>
      <c r="R79" s="70">
        <f t="shared" si="5"/>
        <v>46.153565</v>
      </c>
      <c r="S79" s="70">
        <f t="shared" si="5"/>
        <v>46.640249999999995</v>
      </c>
      <c r="T79" s="70">
        <f t="shared" si="5"/>
        <v>47.352085000000002</v>
      </c>
      <c r="U79" s="70">
        <f t="shared" si="5"/>
        <v>48.47384499999999</v>
      </c>
      <c r="V79" s="70">
        <f t="shared" si="5"/>
        <v>48.47384499999999</v>
      </c>
      <c r="W79" s="70">
        <f t="shared" si="5"/>
        <v>48.47384499999999</v>
      </c>
      <c r="X79" s="70">
        <f t="shared" si="5"/>
        <v>48.47384499999999</v>
      </c>
      <c r="Y79" s="70">
        <f t="shared" si="5"/>
        <v>48.47384499999999</v>
      </c>
      <c r="Z79" s="70">
        <f t="shared" si="5"/>
        <v>48.47384499999999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44.110399999999998</v>
      </c>
      <c r="P80" s="70">
        <f t="shared" si="5"/>
        <v>43.798609999999996</v>
      </c>
      <c r="Q80" s="70">
        <f t="shared" si="5"/>
        <v>44.538469999999997</v>
      </c>
      <c r="R80" s="70">
        <f t="shared" si="5"/>
        <v>46.153565</v>
      </c>
      <c r="S80" s="70">
        <f t="shared" si="5"/>
        <v>46.640249999999995</v>
      </c>
      <c r="T80" s="70">
        <f t="shared" si="5"/>
        <v>47.352085000000002</v>
      </c>
      <c r="U80" s="70">
        <f t="shared" si="5"/>
        <v>48.47384499999999</v>
      </c>
      <c r="V80" s="70">
        <f t="shared" si="5"/>
        <v>48.47384499999999</v>
      </c>
      <c r="W80" s="70">
        <f t="shared" si="5"/>
        <v>48.47384499999999</v>
      </c>
      <c r="X80" s="70">
        <f t="shared" si="5"/>
        <v>48.47384499999999</v>
      </c>
      <c r="Y80" s="70">
        <f t="shared" si="5"/>
        <v>48.47384499999999</v>
      </c>
      <c r="Z80" s="70">
        <f t="shared" si="5"/>
        <v>48.47384499999999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5</v>
      </c>
      <c r="P91" s="70">
        <f>ROUNDUP(ROUNDUP(P78/Inputs!$J$114,0)/(Inputs!$J$118*Inputs!$J$115*Inputs!$J$114),0)+1</f>
        <v>5</v>
      </c>
      <c r="Q91" s="70">
        <f>ROUNDUP(ROUNDUP(Q78/Inputs!$J$114,0)/(Inputs!$J$118*Inputs!$J$115*Inputs!$J$114),0)+1</f>
        <v>5</v>
      </c>
      <c r="R91" s="70">
        <f>ROUNDUP(ROUNDUP(R78/Inputs!$J$114,0)/(Inputs!$J$118*Inputs!$J$115*Inputs!$J$114),0)+1</f>
        <v>5</v>
      </c>
      <c r="S91" s="70">
        <f>ROUNDUP(ROUNDUP(S78/Inputs!$J$114,0)/(Inputs!$J$118*Inputs!$J$115*Inputs!$J$114),0)+1</f>
        <v>5</v>
      </c>
      <c r="T91" s="70">
        <f>ROUNDUP(ROUNDUP(T78/Inputs!$J$114,0)/(Inputs!$J$118*Inputs!$J$115*Inputs!$J$114),0)+1</f>
        <v>5</v>
      </c>
      <c r="U91" s="70">
        <f>ROUNDUP(ROUNDUP(U78/Inputs!$J$114,0)/(Inputs!$J$118*Inputs!$J$115*Inputs!$J$114),0)+1</f>
        <v>6</v>
      </c>
      <c r="V91" s="70">
        <f>ROUNDUP(ROUNDUP(V78/Inputs!$J$114,0)/(Inputs!$J$118*Inputs!$J$115*Inputs!$J$114),0)+1</f>
        <v>6</v>
      </c>
      <c r="W91" s="70">
        <f>ROUNDUP(ROUNDUP(W78/Inputs!$J$114,0)/(Inputs!$J$118*Inputs!$J$115*Inputs!$J$114),0)+1</f>
        <v>6</v>
      </c>
      <c r="X91" s="70">
        <f>ROUNDUP(ROUNDUP(X78/Inputs!$J$114,0)/(Inputs!$J$118*Inputs!$J$115*Inputs!$J$114),0)+1</f>
        <v>6</v>
      </c>
      <c r="Y91" s="70">
        <f>ROUNDUP(ROUNDUP(Y78/Inputs!$J$114,0)/(Inputs!$J$118*Inputs!$J$115*Inputs!$J$114),0)+1</f>
        <v>6</v>
      </c>
      <c r="Z91" s="70">
        <f>ROUNDUP(ROUNDUP(Z78/Inputs!$J$114,0)/(Inputs!$J$118*Inputs!$J$115*Inputs!$J$114),0)+1</f>
        <v>6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1.5</v>
      </c>
      <c r="P92" s="70">
        <f t="shared" ref="P92:Z92" si="11">MAX(0,((P91-1)-1)/2)</f>
        <v>1.5</v>
      </c>
      <c r="Q92" s="70">
        <f t="shared" si="11"/>
        <v>1.5</v>
      </c>
      <c r="R92" s="70">
        <f t="shared" si="11"/>
        <v>1.5</v>
      </c>
      <c r="S92" s="70">
        <f t="shared" si="11"/>
        <v>1.5</v>
      </c>
      <c r="T92" s="70">
        <f t="shared" si="11"/>
        <v>1.5</v>
      </c>
      <c r="U92" s="70">
        <f t="shared" si="11"/>
        <v>2</v>
      </c>
      <c r="V92" s="70">
        <f t="shared" si="11"/>
        <v>2</v>
      </c>
      <c r="W92" s="70">
        <f t="shared" si="11"/>
        <v>2</v>
      </c>
      <c r="X92" s="70">
        <f t="shared" si="11"/>
        <v>2</v>
      </c>
      <c r="Y92" s="70">
        <f t="shared" si="11"/>
        <v>2</v>
      </c>
      <c r="Z92" s="70">
        <f t="shared" si="11"/>
        <v>2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3.5</v>
      </c>
      <c r="P93" s="93">
        <f t="shared" ref="P93:Z93" si="12">IFERROR((P91-P92)/P91,0)*MAX(0,P91)</f>
        <v>3.5</v>
      </c>
      <c r="Q93" s="93">
        <f t="shared" si="12"/>
        <v>3.5</v>
      </c>
      <c r="R93" s="93">
        <f t="shared" si="12"/>
        <v>3.5</v>
      </c>
      <c r="S93" s="93">
        <f t="shared" si="12"/>
        <v>3.5</v>
      </c>
      <c r="T93" s="93">
        <f t="shared" si="12"/>
        <v>3.5</v>
      </c>
      <c r="U93" s="93">
        <f t="shared" si="12"/>
        <v>4</v>
      </c>
      <c r="V93" s="93">
        <f t="shared" si="12"/>
        <v>4</v>
      </c>
      <c r="W93" s="93">
        <f t="shared" si="12"/>
        <v>4</v>
      </c>
      <c r="X93" s="93">
        <f t="shared" si="12"/>
        <v>4</v>
      </c>
      <c r="Y93" s="93">
        <f t="shared" si="12"/>
        <v>4</v>
      </c>
      <c r="Z93" s="93">
        <f t="shared" si="12"/>
        <v>4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619758.12372453685</v>
      </c>
      <c r="P103" s="138">
        <f>IF(Inputs!$J$126&gt;0,P71*Inputs!$M$81/Inputs!$M$80*Inputs!$M$75*Inputs!$J$126,P77*Inputs!$M$75*P90*Inputs!$J$123)*$I$13</f>
        <v>615377.42471940257</v>
      </c>
      <c r="Q103" s="138">
        <f>IF(Inputs!$J$126&gt;0,Q71*Inputs!$M$81/Inputs!$M$80*Inputs!$M$75*Inputs!$J$126,Q77*Inputs!$M$75*Q90*Inputs!$J$123)*$I$13</f>
        <v>625772.57519228058</v>
      </c>
      <c r="R103" s="138">
        <f>IF(Inputs!$J$126&gt;0,R71*Inputs!$M$81/Inputs!$M$80*Inputs!$M$75*Inputs!$J$126,R77*Inputs!$M$75*R90*Inputs!$J$123)*$I$13</f>
        <v>648464.91638249601</v>
      </c>
      <c r="S103" s="138">
        <f>IF(Inputs!$J$126&gt;0,S71*Inputs!$M$81/Inputs!$M$80*Inputs!$M$75*Inputs!$J$126,S77*Inputs!$M$75*S90*Inputs!$J$123)*$I$13</f>
        <v>655302.91790696362</v>
      </c>
      <c r="T103" s="138">
        <f>IF(Inputs!$J$126&gt;0,T71*Inputs!$M$81/Inputs!$M$80*Inputs!$M$75*Inputs!$J$126,T77*Inputs!$M$75*T90*Inputs!$J$123)*$I$13</f>
        <v>665304.31268011138</v>
      </c>
      <c r="U103" s="138">
        <f>IF(Inputs!$J$126&gt;0,U71*Inputs!$M$81/Inputs!$M$80*Inputs!$M$75*Inputs!$J$126,U77*Inputs!$M$75*U90*Inputs!$J$123)*$I$13</f>
        <v>681065.21878999099</v>
      </c>
      <c r="V103" s="138">
        <f>IF(Inputs!$J$126&gt;0,V71*Inputs!$M$81/Inputs!$M$80*Inputs!$M$75*Inputs!$J$126,V77*Inputs!$M$75*V90*Inputs!$J$123)*$I$13</f>
        <v>681065.21878999099</v>
      </c>
      <c r="W103" s="138">
        <f>IF(Inputs!$J$126&gt;0,W71*Inputs!$M$81/Inputs!$M$80*Inputs!$M$75*Inputs!$J$126,W77*Inputs!$M$75*W90*Inputs!$J$123)*$I$13</f>
        <v>681065.21878999099</v>
      </c>
      <c r="X103" s="138">
        <f>IF(Inputs!$J$126&gt;0,X71*Inputs!$M$81/Inputs!$M$80*Inputs!$M$75*Inputs!$J$126,X77*Inputs!$M$75*X90*Inputs!$J$123)*$I$13</f>
        <v>681065.21878999099</v>
      </c>
      <c r="Y103" s="138">
        <f>IF(Inputs!$J$126&gt;0,Y71*Inputs!$M$81/Inputs!$M$80*Inputs!$M$75*Inputs!$J$126,Y77*Inputs!$M$75*Y90*Inputs!$J$123)*$I$13</f>
        <v>681065.21878999099</v>
      </c>
      <c r="Z103" s="138">
        <f>IF(Inputs!$J$126&gt;0,Z71*Inputs!$M$81/Inputs!$M$80*Inputs!$M$75*Inputs!$J$126,Z77*Inputs!$M$75*Z90*Inputs!$J$123)*$I$13</f>
        <v>681065.21878999099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1239516.2474490737</v>
      </c>
      <c r="P105" s="138">
        <f>IF(Inputs!$K$126&gt;0,P71*Inputs!$M$82/Inputs!$M$80*Inputs!$M$75*Inputs!$K$126,P78*Inputs!$M$75*P93*Inputs!$J$123)*$I$13</f>
        <v>1230754.8494388051</v>
      </c>
      <c r="Q105" s="138">
        <f>IF(Inputs!$K$126&gt;0,Q71*Inputs!$M$82/Inputs!$M$80*Inputs!$M$75*Inputs!$K$126,Q78*Inputs!$M$75*Q93*Inputs!$J$123)*$I$13</f>
        <v>1251545.1503845612</v>
      </c>
      <c r="R105" s="138">
        <f>IF(Inputs!$K$126&gt;0,R71*Inputs!$M$82/Inputs!$M$80*Inputs!$M$75*Inputs!$K$126,R78*Inputs!$M$75*R93*Inputs!$J$123)*$I$13</f>
        <v>1296929.832764992</v>
      </c>
      <c r="S105" s="138">
        <f>IF(Inputs!$K$126&gt;0,S71*Inputs!$M$82/Inputs!$M$80*Inputs!$M$75*Inputs!$K$126,S78*Inputs!$M$75*S93*Inputs!$J$123)*$I$13</f>
        <v>1310605.8358139272</v>
      </c>
      <c r="T105" s="138">
        <f>IF(Inputs!$K$126&gt;0,T71*Inputs!$M$82/Inputs!$M$80*Inputs!$M$75*Inputs!$K$126,T78*Inputs!$M$75*T93*Inputs!$J$123)*$I$13</f>
        <v>1330608.6253602228</v>
      </c>
      <c r="U105" s="138">
        <f>IF(Inputs!$K$126&gt;0,U71*Inputs!$M$82/Inputs!$M$80*Inputs!$M$75*Inputs!$K$126,U78*Inputs!$M$75*U93*Inputs!$J$123)*$I$13</f>
        <v>1362130.437579982</v>
      </c>
      <c r="V105" s="138">
        <f>IF(Inputs!$K$126&gt;0,V71*Inputs!$M$82/Inputs!$M$80*Inputs!$M$75*Inputs!$K$126,V78*Inputs!$M$75*V93*Inputs!$J$123)*$I$13</f>
        <v>1362130.437579982</v>
      </c>
      <c r="W105" s="138">
        <f>IF(Inputs!$K$126&gt;0,W71*Inputs!$M$82/Inputs!$M$80*Inputs!$M$75*Inputs!$K$126,W78*Inputs!$M$75*W93*Inputs!$J$123)*$I$13</f>
        <v>1362130.437579982</v>
      </c>
      <c r="X105" s="138">
        <f>IF(Inputs!$K$126&gt;0,X71*Inputs!$M$82/Inputs!$M$80*Inputs!$M$75*Inputs!$K$126,X78*Inputs!$M$75*X93*Inputs!$J$123)*$I$13</f>
        <v>1362130.437579982</v>
      </c>
      <c r="Y105" s="138">
        <f>IF(Inputs!$K$126&gt;0,Y71*Inputs!$M$82/Inputs!$M$80*Inputs!$M$75*Inputs!$K$126,Y78*Inputs!$M$75*Y93*Inputs!$J$123)*$I$13</f>
        <v>1362130.437579982</v>
      </c>
      <c r="Z105" s="138">
        <f>IF(Inputs!$K$126&gt;0,Z71*Inputs!$M$82/Inputs!$M$80*Inputs!$M$75*Inputs!$K$126,Z78*Inputs!$M$75*Z93*Inputs!$J$123)*$I$13</f>
        <v>1362130.437579982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9.8674011498335878E-2</v>
      </c>
      <c r="P114" s="56">
        <f>Inputs!P64*$I$9</f>
        <v>0.10616274606012402</v>
      </c>
      <c r="Q114" s="56">
        <f>Inputs!Q64*$I$9</f>
        <v>0.11429634508544587</v>
      </c>
      <c r="R114" s="56">
        <f>Inputs!R64*$I$9</f>
        <v>0.12313349155364925</v>
      </c>
      <c r="S114" s="56">
        <f>Inputs!S64*$I$9</f>
        <v>0.13273838825914946</v>
      </c>
      <c r="T114" s="56">
        <f>Inputs!T64*$I$9</f>
        <v>0.14318128790219287</v>
      </c>
      <c r="U114" s="56">
        <f>Inputs!U64*$I$9</f>
        <v>0.15453907477674639</v>
      </c>
      <c r="V114" s="56">
        <f>Inputs!V64*$I$9</f>
        <v>0.16689590312264438</v>
      </c>
      <c r="W114" s="56">
        <f>Inputs!W64*$I$9</f>
        <v>0.18034389770969292</v>
      </c>
      <c r="X114" s="56">
        <f>Inputs!X64*$I$9</f>
        <v>0.19498392277163656</v>
      </c>
      <c r="Y114" s="56">
        <f>Inputs!Y64*$I$9</f>
        <v>0.21092642601269249</v>
      </c>
      <c r="Z114" s="56">
        <f>Inputs!Z64*$I$9</f>
        <v>0.22829236507414266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1.2334251437291985E-3</v>
      </c>
      <c r="P115" s="56">
        <f>Inputs!P65*$I$9</f>
        <v>1.3270343257515494E-3</v>
      </c>
      <c r="Q115" s="56">
        <f>Inputs!Q65*$I$9</f>
        <v>1.4287043135680737E-3</v>
      </c>
      <c r="R115" s="56">
        <f>Inputs!R65*$I$9</f>
        <v>1.5391686444206154E-3</v>
      </c>
      <c r="S115" s="56">
        <f>Inputs!S65*$I$9</f>
        <v>1.6592298532393686E-3</v>
      </c>
      <c r="T115" s="56">
        <f>Inputs!T65*$I$9</f>
        <v>1.7897660987774096E-3</v>
      </c>
      <c r="U115" s="56">
        <f>Inputs!U65*$I$9</f>
        <v>1.9317384347093294E-3</v>
      </c>
      <c r="V115" s="56">
        <f>Inputs!V65*$I$9</f>
        <v>2.0861987890330551E-3</v>
      </c>
      <c r="W115" s="56">
        <f>Inputs!W65*$I$9</f>
        <v>2.2542987213711604E-3</v>
      </c>
      <c r="X115" s="56">
        <f>Inputs!X65*$I$9</f>
        <v>2.4372990346454571E-3</v>
      </c>
      <c r="Y115" s="56">
        <f>Inputs!Y65*$I$9</f>
        <v>2.6365803251586556E-3</v>
      </c>
      <c r="Z115" s="56">
        <f>Inputs!Z65*$I$9</f>
        <v>2.8536545634267824E-3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61154.020226582019</v>
      </c>
      <c r="P119" s="70">
        <f t="shared" ref="P119:Z119" si="17">P103*P114*$T$37</f>
        <v>65330.15727161902</v>
      </c>
      <c r="Q119" s="70">
        <f t="shared" si="17"/>
        <v>71523.518199185026</v>
      </c>
      <c r="R119" s="70">
        <f t="shared" si="17"/>
        <v>79847.749304221943</v>
      </c>
      <c r="S119" s="70">
        <f t="shared" si="17"/>
        <v>86983.853144488079</v>
      </c>
      <c r="T119" s="70">
        <f t="shared" si="17"/>
        <v>95259.128336421578</v>
      </c>
      <c r="U119" s="70">
        <f t="shared" si="17"/>
        <v>105251.18877442756</v>
      </c>
      <c r="V119" s="70">
        <f t="shared" si="17"/>
        <v>113666.99477537694</v>
      </c>
      <c r="W119" s="70">
        <f t="shared" si="17"/>
        <v>122825.95615109176</v>
      </c>
      <c r="X119" s="70">
        <f t="shared" si="17"/>
        <v>132796.76802299535</v>
      </c>
      <c r="Y119" s="70">
        <f t="shared" si="17"/>
        <v>143654.65248092526</v>
      </c>
      <c r="Z119" s="70">
        <f t="shared" si="17"/>
        <v>155481.98956730546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1528.8505056645504</v>
      </c>
      <c r="P120" s="138">
        <f t="shared" ref="P120:Z120" si="20">P105*P115*$T$27</f>
        <v>1633.2539317904743</v>
      </c>
      <c r="Q120" s="138">
        <f t="shared" si="20"/>
        <v>1788.0879549796259</v>
      </c>
      <c r="R120" s="138">
        <f t="shared" si="20"/>
        <v>1996.1937326055483</v>
      </c>
      <c r="S120" s="138">
        <f t="shared" si="20"/>
        <v>2174.5963286122023</v>
      </c>
      <c r="T120" s="138">
        <f t="shared" si="20"/>
        <v>2381.4782084105377</v>
      </c>
      <c r="U120" s="138">
        <f t="shared" si="20"/>
        <v>2631.2797193606884</v>
      </c>
      <c r="V120" s="138">
        <f t="shared" si="20"/>
        <v>2841.6748693844238</v>
      </c>
      <c r="W120" s="138">
        <f t="shared" si="20"/>
        <v>3070.6489037772926</v>
      </c>
      <c r="X120" s="138">
        <f t="shared" si="20"/>
        <v>3319.9192005748841</v>
      </c>
      <c r="Y120" s="138">
        <f t="shared" si="20"/>
        <v>3591.3663120231308</v>
      </c>
      <c r="Z120" s="138">
        <f t="shared" si="20"/>
        <v>3887.0497391826357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14832.448107478049</v>
      </c>
      <c r="P124" s="70">
        <f t="shared" si="21"/>
        <v>15958.137284311337</v>
      </c>
      <c r="Q124" s="70">
        <f t="shared" si="21"/>
        <v>17180.760988752045</v>
      </c>
      <c r="R124" s="70">
        <f t="shared" si="21"/>
        <v>18509.140309886872</v>
      </c>
      <c r="S124" s="70">
        <f t="shared" si="21"/>
        <v>19952.926062576385</v>
      </c>
      <c r="T124" s="70">
        <f t="shared" si="21"/>
        <v>21522.678469466773</v>
      </c>
      <c r="U124" s="70">
        <f t="shared" si="21"/>
        <v>23229.954598961634</v>
      </c>
      <c r="V124" s="70">
        <f t="shared" si="21"/>
        <v>25087.404320833302</v>
      </c>
      <c r="W124" s="70">
        <f t="shared" si="21"/>
        <v>27108.875616397356</v>
      </c>
      <c r="X124" s="70">
        <f t="shared" si="21"/>
        <v>29309.53016287963</v>
      </c>
      <c r="Y124" s="70">
        <f t="shared" si="21"/>
        <v>31705.970202517125</v>
      </c>
      <c r="Z124" s="70">
        <f t="shared" si="21"/>
        <v>34316.37780686318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420.48189656726424</v>
      </c>
      <c r="P125" s="70">
        <f t="shared" si="22"/>
        <v>452.39381809163211</v>
      </c>
      <c r="Q125" s="70">
        <f t="shared" si="22"/>
        <v>487.05371579066002</v>
      </c>
      <c r="R125" s="70">
        <f t="shared" si="22"/>
        <v>524.71165683074344</v>
      </c>
      <c r="S125" s="70">
        <f t="shared" si="22"/>
        <v>565.64123009664354</v>
      </c>
      <c r="T125" s="70">
        <f t="shared" si="22"/>
        <v>610.14180507977881</v>
      </c>
      <c r="U125" s="70">
        <f t="shared" si="22"/>
        <v>658.54101063857593</v>
      </c>
      <c r="V125" s="70">
        <f t="shared" si="22"/>
        <v>711.19745522355129</v>
      </c>
      <c r="W125" s="70">
        <f t="shared" si="22"/>
        <v>768.50371229290931</v>
      </c>
      <c r="X125" s="70">
        <f t="shared" si="22"/>
        <v>830.88959698902511</v>
      </c>
      <c r="Y125" s="70">
        <f t="shared" si="22"/>
        <v>898.82576272342408</v>
      </c>
      <c r="Z125" s="70">
        <f t="shared" si="22"/>
        <v>972.82764915076609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6277.2782230088505</v>
      </c>
      <c r="P127" s="70">
        <f>Inputs!$J$27*$I$11</f>
        <v>6277.2782230088505</v>
      </c>
      <c r="Q127" s="70">
        <f>Inputs!$J$27*$I$11</f>
        <v>6277.2782230088505</v>
      </c>
      <c r="R127" s="70">
        <f>Inputs!$J$27*$I$11</f>
        <v>6277.2782230088505</v>
      </c>
      <c r="S127" s="70">
        <f>Inputs!$J$27*$I$11</f>
        <v>6277.2782230088505</v>
      </c>
      <c r="T127" s="70">
        <f>Inputs!$J$27*$I$11</f>
        <v>6277.2782230088505</v>
      </c>
      <c r="U127" s="70">
        <f>Inputs!$J$27*$I$11</f>
        <v>6277.2782230088505</v>
      </c>
      <c r="V127" s="70">
        <f>Inputs!$J$27*$I$11</f>
        <v>6277.2782230088505</v>
      </c>
      <c r="W127" s="70">
        <f>Inputs!$J$27*$I$11</f>
        <v>6277.2782230088505</v>
      </c>
      <c r="X127" s="70">
        <f>Inputs!$J$27*$I$11</f>
        <v>6277.2782230088505</v>
      </c>
      <c r="Y127" s="70">
        <f>Inputs!$J$27*$I$11</f>
        <v>6277.2782230088505</v>
      </c>
      <c r="Z127" s="70">
        <f>Inputs!$J$27*$I$11</f>
        <v>6277.2782230088505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84213.078959300721</v>
      </c>
      <c r="P128" s="98">
        <f t="shared" ref="P128:Z128" si="24">SUM(P119:P127)</f>
        <v>89651.220528821315</v>
      </c>
      <c r="Q128" s="98">
        <f t="shared" si="24"/>
        <v>97256.6990817162</v>
      </c>
      <c r="R128" s="98">
        <f t="shared" si="24"/>
        <v>107155.07322655396</v>
      </c>
      <c r="S128" s="98">
        <f t="shared" si="24"/>
        <v>115954.29498878216</v>
      </c>
      <c r="T128" s="98">
        <f t="shared" si="24"/>
        <v>126050.70504238752</v>
      </c>
      <c r="U128" s="98">
        <f t="shared" si="24"/>
        <v>138048.2423263973</v>
      </c>
      <c r="V128" s="98">
        <f t="shared" si="24"/>
        <v>148584.54964382708</v>
      </c>
      <c r="W128" s="98">
        <f t="shared" si="24"/>
        <v>160051.26260656817</v>
      </c>
      <c r="X128" s="98">
        <f t="shared" si="24"/>
        <v>172534.38520644774</v>
      </c>
      <c r="Y128" s="98">
        <f t="shared" si="24"/>
        <v>186128.09298119778</v>
      </c>
      <c r="Z128" s="98">
        <f t="shared" si="24"/>
        <v>200935.52298551091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0</v>
      </c>
      <c r="S135" s="70">
        <f>Inputs!S22*'Scenario A'!$I$10</f>
        <v>1282356.6371681415</v>
      </c>
      <c r="T135" s="70">
        <f>Inputs!T22*'Scenario A'!$I$10</f>
        <v>0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71606.760636242645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5257.0922761061956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76863.852912348841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84213.078959300721</v>
      </c>
      <c r="P147" s="70">
        <f t="shared" ref="P147:Z147" si="27">P128</f>
        <v>89651.220528821315</v>
      </c>
      <c r="Q147" s="70">
        <f t="shared" si="27"/>
        <v>97256.6990817162</v>
      </c>
      <c r="R147" s="70">
        <f t="shared" si="27"/>
        <v>107155.07322655396</v>
      </c>
      <c r="S147" s="70">
        <f t="shared" si="27"/>
        <v>115954.29498878216</v>
      </c>
      <c r="T147" s="70">
        <f t="shared" si="27"/>
        <v>126050.70504238752</v>
      </c>
      <c r="U147" s="70">
        <f t="shared" si="27"/>
        <v>138048.2423263973</v>
      </c>
      <c r="V147" s="70">
        <f t="shared" si="27"/>
        <v>148584.54964382708</v>
      </c>
      <c r="W147" s="70">
        <f t="shared" si="27"/>
        <v>160051.26260656817</v>
      </c>
      <c r="X147" s="70">
        <f t="shared" si="27"/>
        <v>172534.38520644774</v>
      </c>
      <c r="Y147" s="70">
        <f t="shared" si="27"/>
        <v>186128.09298119778</v>
      </c>
      <c r="Z147" s="70">
        <f t="shared" si="27"/>
        <v>200935.52298551091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76863.852912348841</v>
      </c>
      <c r="P148" s="70">
        <f t="shared" ref="P148:Z148" si="28">$J$140</f>
        <v>76863.852912348841</v>
      </c>
      <c r="Q148" s="70">
        <f t="shared" si="28"/>
        <v>76863.852912348841</v>
      </c>
      <c r="R148" s="70">
        <f t="shared" si="28"/>
        <v>76863.852912348841</v>
      </c>
      <c r="S148" s="70">
        <f t="shared" si="28"/>
        <v>76863.852912348841</v>
      </c>
      <c r="T148" s="70">
        <f t="shared" si="28"/>
        <v>76863.852912348841</v>
      </c>
      <c r="U148" s="70">
        <f t="shared" si="28"/>
        <v>76863.852912348841</v>
      </c>
      <c r="V148" s="70">
        <f t="shared" si="28"/>
        <v>76863.852912348841</v>
      </c>
      <c r="W148" s="70">
        <f t="shared" si="28"/>
        <v>76863.852912348841</v>
      </c>
      <c r="X148" s="70">
        <f t="shared" si="28"/>
        <v>76863.852912348841</v>
      </c>
      <c r="Y148" s="70">
        <f t="shared" si="28"/>
        <v>76863.852912348841</v>
      </c>
      <c r="Z148" s="70">
        <f t="shared" si="28"/>
        <v>76863.852912348841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TK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1239516.2474490737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1239516.2474490737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209840.17699115045</v>
      </c>
      <c r="S30" s="72">
        <v>0</v>
      </c>
      <c r="T30" s="73">
        <f>'Base Case'!$T30</f>
        <v>1</v>
      </c>
      <c r="U30" s="74">
        <f t="shared" si="0"/>
        <v>209840.17699115045</v>
      </c>
      <c r="V30" s="75">
        <f t="shared" si="1"/>
        <v>209840.17699115045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12590.410619469027</v>
      </c>
      <c r="T31" s="73">
        <f>'Base Case'!$T31</f>
        <v>1</v>
      </c>
      <c r="U31" s="74">
        <f t="shared" si="0"/>
        <v>12590.410619469027</v>
      </c>
      <c r="V31" s="75">
        <f t="shared" si="1"/>
        <v>12590.410619469027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f>Inputs!$L$161*$I$11</f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619758.12372453685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619758.12372453685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69946.725663716803</v>
      </c>
      <c r="S40" s="72">
        <v>0</v>
      </c>
      <c r="T40" s="73">
        <f>'Base Case'!$T40</f>
        <v>1</v>
      </c>
      <c r="U40" s="74">
        <f t="shared" si="0"/>
        <v>69946.725663716803</v>
      </c>
      <c r="V40" s="75">
        <f t="shared" si="1"/>
        <v>69946.725663716803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3590.5985840707963</v>
      </c>
      <c r="T41" s="73">
        <f>'Base Case'!$T41</f>
        <v>1</v>
      </c>
      <c r="U41" s="74">
        <f t="shared" si="0"/>
        <v>3590.5985840707963</v>
      </c>
      <c r="V41" s="75">
        <f t="shared" si="1"/>
        <v>3590.5985840707963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f>Inputs!$L$161*$I$11</f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619758.12372453685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69946.725663716803</v>
      </c>
      <c r="S49" s="70">
        <f t="shared" si="2"/>
        <v>3590.5985840707963</v>
      </c>
      <c r="T49" s="56">
        <f>U49/SUM(O49:S49)</f>
        <v>1</v>
      </c>
      <c r="U49" s="70">
        <f t="shared" si="2"/>
        <v>744169.60521112569</v>
      </c>
      <c r="V49" s="70">
        <f t="shared" si="2"/>
        <v>124411.4814865888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1239516.2474490737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209840.17699115045</v>
      </c>
      <c r="S50" s="70">
        <f t="shared" si="3"/>
        <v>12590.410619469027</v>
      </c>
      <c r="T50" s="56">
        <f t="shared" ref="T50:T51" si="4">U50/SUM(O50:S50)</f>
        <v>1</v>
      </c>
      <c r="U50" s="70">
        <f t="shared" si="3"/>
        <v>1523428.5092893026</v>
      </c>
      <c r="V50" s="70">
        <f t="shared" si="3"/>
        <v>283912.26184022898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2267598.1145004285</v>
      </c>
      <c r="V52" s="88">
        <f>SUM(V49:V51)</f>
        <v>408323.74332681776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52.9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47.116199999999992</v>
      </c>
      <c r="P69" s="70">
        <f>Inputs!P185*$I$12</f>
        <v>46.283049999999996</v>
      </c>
      <c r="Q69" s="70">
        <f>Inputs!Q185*$I$12</f>
        <v>47.392649999999996</v>
      </c>
      <c r="R69" s="70">
        <f>Inputs!R185*$I$12</f>
        <v>49.570999999999998</v>
      </c>
      <c r="S69" s="70">
        <f>Inputs!S185*$I$12</f>
        <v>49.672649999999997</v>
      </c>
      <c r="T69" s="70">
        <f>Inputs!T185*$I$12</f>
        <v>50.597949999999997</v>
      </c>
      <c r="U69" s="70">
        <f>Inputs!U185*$I$12</f>
        <v>52.455199999999998</v>
      </c>
      <c r="V69" s="70">
        <f>Inputs!V185*$I$12</f>
        <v>52.455199999999998</v>
      </c>
      <c r="W69" s="70">
        <f>Inputs!W185*$I$12</f>
        <v>52.455199999999998</v>
      </c>
      <c r="X69" s="70">
        <f>Inputs!X185*$I$12</f>
        <v>52.455199999999998</v>
      </c>
      <c r="Y69" s="70">
        <f>Inputs!Y185*$I$12</f>
        <v>52.455199999999998</v>
      </c>
      <c r="Z69" s="70">
        <f>Inputs!Z185*$I$12</f>
        <v>52.455199999999998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42.822199999999995</v>
      </c>
      <c r="P70" s="70">
        <f>Inputs!P186*$I$12</f>
        <v>42.733849999999997</v>
      </c>
      <c r="Q70" s="70">
        <f>Inputs!Q186*$I$12</f>
        <v>43.315249999999999</v>
      </c>
      <c r="R70" s="70">
        <f>Inputs!R186*$I$12</f>
        <v>44.688949999999998</v>
      </c>
      <c r="S70" s="70">
        <f>Inputs!S186*$I$12</f>
        <v>45.340649999999997</v>
      </c>
      <c r="T70" s="70">
        <f>Inputs!T186*$I$12</f>
        <v>45.960999999999999</v>
      </c>
      <c r="U70" s="70">
        <f>Inputs!U186*$I$12</f>
        <v>46.76755</v>
      </c>
      <c r="V70" s="70">
        <f>Inputs!V186*$I$12</f>
        <v>46.76755</v>
      </c>
      <c r="W70" s="70">
        <f>Inputs!W186*$I$12</f>
        <v>46.76755</v>
      </c>
      <c r="X70" s="70">
        <f>Inputs!X186*$I$12</f>
        <v>46.76755</v>
      </c>
      <c r="Y70" s="70">
        <f>Inputs!Y186*$I$12</f>
        <v>46.76755</v>
      </c>
      <c r="Z70" s="70">
        <f>Inputs!Z186*$I$12</f>
        <v>46.76755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44.110399999999998</v>
      </c>
      <c r="P71" s="70">
        <f>Inputs!P187*$I$12</f>
        <v>43.798609999999996</v>
      </c>
      <c r="Q71" s="70">
        <f>Inputs!Q187*$I$12</f>
        <v>44.538469999999997</v>
      </c>
      <c r="R71" s="70">
        <f>Inputs!R187*$I$12</f>
        <v>46.153565</v>
      </c>
      <c r="S71" s="70">
        <f>Inputs!S187*$I$12</f>
        <v>46.640249999999995</v>
      </c>
      <c r="T71" s="70">
        <f>Inputs!T187*$I$12</f>
        <v>47.352085000000002</v>
      </c>
      <c r="U71" s="70">
        <f>Inputs!U187*$I$12</f>
        <v>48.47384499999999</v>
      </c>
      <c r="V71" s="70">
        <f>Inputs!V187*$I$12</f>
        <v>48.47384499999999</v>
      </c>
      <c r="W71" s="70">
        <f>Inputs!W187*$I$12</f>
        <v>48.47384499999999</v>
      </c>
      <c r="X71" s="70">
        <f>Inputs!X187*$I$12</f>
        <v>48.47384499999999</v>
      </c>
      <c r="Y71" s="70">
        <f>Inputs!Y187*$I$12</f>
        <v>48.47384499999999</v>
      </c>
      <c r="Z71" s="70">
        <f>Inputs!Z187*$I$12</f>
        <v>48.47384499999999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44.110399999999998</v>
      </c>
      <c r="P78" s="70">
        <f t="shared" si="5"/>
        <v>43.798609999999996</v>
      </c>
      <c r="Q78" s="70">
        <f t="shared" si="5"/>
        <v>44.538469999999997</v>
      </c>
      <c r="R78" s="70">
        <f t="shared" si="5"/>
        <v>46.153565</v>
      </c>
      <c r="S78" s="70">
        <f t="shared" si="5"/>
        <v>46.640249999999995</v>
      </c>
      <c r="T78" s="70">
        <f t="shared" si="5"/>
        <v>47.352085000000002</v>
      </c>
      <c r="U78" s="70">
        <f t="shared" si="5"/>
        <v>48.47384499999999</v>
      </c>
      <c r="V78" s="70">
        <f t="shared" si="5"/>
        <v>48.47384499999999</v>
      </c>
      <c r="W78" s="70">
        <f t="shared" si="5"/>
        <v>48.47384499999999</v>
      </c>
      <c r="X78" s="70">
        <f t="shared" si="5"/>
        <v>48.47384499999999</v>
      </c>
      <c r="Y78" s="70">
        <f t="shared" si="5"/>
        <v>48.47384499999999</v>
      </c>
      <c r="Z78" s="70">
        <f t="shared" si="5"/>
        <v>48.47384499999999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44.110399999999998</v>
      </c>
      <c r="P79" s="70">
        <f t="shared" si="5"/>
        <v>43.798609999999996</v>
      </c>
      <c r="Q79" s="70">
        <f t="shared" si="5"/>
        <v>44.538469999999997</v>
      </c>
      <c r="R79" s="70">
        <f t="shared" si="5"/>
        <v>46.153565</v>
      </c>
      <c r="S79" s="70">
        <f t="shared" si="5"/>
        <v>46.640249999999995</v>
      </c>
      <c r="T79" s="70">
        <f t="shared" si="5"/>
        <v>47.352085000000002</v>
      </c>
      <c r="U79" s="70">
        <f t="shared" si="5"/>
        <v>48.47384499999999</v>
      </c>
      <c r="V79" s="70">
        <f t="shared" si="5"/>
        <v>48.47384499999999</v>
      </c>
      <c r="W79" s="70">
        <f t="shared" si="5"/>
        <v>48.47384499999999</v>
      </c>
      <c r="X79" s="70">
        <f t="shared" si="5"/>
        <v>48.47384499999999</v>
      </c>
      <c r="Y79" s="70">
        <f t="shared" si="5"/>
        <v>48.47384499999999</v>
      </c>
      <c r="Z79" s="70">
        <f t="shared" si="5"/>
        <v>48.47384499999999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44.110399999999998</v>
      </c>
      <c r="P80" s="70">
        <f t="shared" si="5"/>
        <v>43.798609999999996</v>
      </c>
      <c r="Q80" s="70">
        <f t="shared" si="5"/>
        <v>44.538469999999997</v>
      </c>
      <c r="R80" s="70">
        <f t="shared" si="5"/>
        <v>46.153565</v>
      </c>
      <c r="S80" s="70">
        <f t="shared" si="5"/>
        <v>46.640249999999995</v>
      </c>
      <c r="T80" s="70">
        <f t="shared" si="5"/>
        <v>47.352085000000002</v>
      </c>
      <c r="U80" s="70">
        <f t="shared" si="5"/>
        <v>48.47384499999999</v>
      </c>
      <c r="V80" s="70">
        <f t="shared" si="5"/>
        <v>48.47384499999999</v>
      </c>
      <c r="W80" s="70">
        <f t="shared" si="5"/>
        <v>48.47384499999999</v>
      </c>
      <c r="X80" s="70">
        <f t="shared" si="5"/>
        <v>48.47384499999999</v>
      </c>
      <c r="Y80" s="70">
        <f t="shared" si="5"/>
        <v>48.47384499999999</v>
      </c>
      <c r="Z80" s="70">
        <f t="shared" si="5"/>
        <v>48.47384499999999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5</v>
      </c>
      <c r="P91" s="70">
        <f>ROUNDUP(ROUNDUP(P78/Inputs!$J$114,0)/(Inputs!$J$118*Inputs!$J$115*Inputs!$J$114),0)+1</f>
        <v>5</v>
      </c>
      <c r="Q91" s="70">
        <f>ROUNDUP(ROUNDUP(Q78/Inputs!$J$114,0)/(Inputs!$J$118*Inputs!$J$115*Inputs!$J$114),0)+1</f>
        <v>5</v>
      </c>
      <c r="R91" s="70">
        <f>ROUNDUP(ROUNDUP(R78/Inputs!$J$114,0)/(Inputs!$J$118*Inputs!$J$115*Inputs!$J$114),0)+1</f>
        <v>5</v>
      </c>
      <c r="S91" s="70">
        <f>ROUNDUP(ROUNDUP(S78/Inputs!$J$114,0)/(Inputs!$J$118*Inputs!$J$115*Inputs!$J$114),0)+1</f>
        <v>5</v>
      </c>
      <c r="T91" s="70">
        <f>ROUNDUP(ROUNDUP(T78/Inputs!$J$114,0)/(Inputs!$J$118*Inputs!$J$115*Inputs!$J$114),0)+1</f>
        <v>5</v>
      </c>
      <c r="U91" s="70">
        <f>ROUNDUP(ROUNDUP(U78/Inputs!$J$114,0)/(Inputs!$J$118*Inputs!$J$115*Inputs!$J$114),0)+1</f>
        <v>6</v>
      </c>
      <c r="V91" s="70">
        <f>ROUNDUP(ROUNDUP(V78/Inputs!$J$114,0)/(Inputs!$J$118*Inputs!$J$115*Inputs!$J$114),0)+1</f>
        <v>6</v>
      </c>
      <c r="W91" s="70">
        <f>ROUNDUP(ROUNDUP(W78/Inputs!$J$114,0)/(Inputs!$J$118*Inputs!$J$115*Inputs!$J$114),0)+1</f>
        <v>6</v>
      </c>
      <c r="X91" s="70">
        <f>ROUNDUP(ROUNDUP(X78/Inputs!$J$114,0)/(Inputs!$J$118*Inputs!$J$115*Inputs!$J$114),0)+1</f>
        <v>6</v>
      </c>
      <c r="Y91" s="70">
        <f>ROUNDUP(ROUNDUP(Y78/Inputs!$J$114,0)/(Inputs!$J$118*Inputs!$J$115*Inputs!$J$114),0)+1</f>
        <v>6</v>
      </c>
      <c r="Z91" s="70">
        <f>ROUNDUP(ROUNDUP(Z78/Inputs!$J$114,0)/(Inputs!$J$118*Inputs!$J$115*Inputs!$J$114),0)+1</f>
        <v>6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1.5</v>
      </c>
      <c r="P92" s="70">
        <f t="shared" ref="P92:Z92" si="11">MAX(0,((P91-1)-1)/2)</f>
        <v>1.5</v>
      </c>
      <c r="Q92" s="70">
        <f t="shared" si="11"/>
        <v>1.5</v>
      </c>
      <c r="R92" s="70">
        <f t="shared" si="11"/>
        <v>1.5</v>
      </c>
      <c r="S92" s="70">
        <f t="shared" si="11"/>
        <v>1.5</v>
      </c>
      <c r="T92" s="70">
        <f t="shared" si="11"/>
        <v>1.5</v>
      </c>
      <c r="U92" s="70">
        <f t="shared" si="11"/>
        <v>2</v>
      </c>
      <c r="V92" s="70">
        <f t="shared" si="11"/>
        <v>2</v>
      </c>
      <c r="W92" s="70">
        <f t="shared" si="11"/>
        <v>2</v>
      </c>
      <c r="X92" s="70">
        <f t="shared" si="11"/>
        <v>2</v>
      </c>
      <c r="Y92" s="70">
        <f t="shared" si="11"/>
        <v>2</v>
      </c>
      <c r="Z92" s="70">
        <f t="shared" si="11"/>
        <v>2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3.5</v>
      </c>
      <c r="P93" s="93">
        <f t="shared" ref="P93:Z93" si="12">IFERROR((P91-P92)/P91,0)*MAX(0,P91)</f>
        <v>3.5</v>
      </c>
      <c r="Q93" s="93">
        <f t="shared" si="12"/>
        <v>3.5</v>
      </c>
      <c r="R93" s="93">
        <f t="shared" si="12"/>
        <v>3.5</v>
      </c>
      <c r="S93" s="93">
        <f t="shared" si="12"/>
        <v>3.5</v>
      </c>
      <c r="T93" s="93">
        <f t="shared" si="12"/>
        <v>3.5</v>
      </c>
      <c r="U93" s="93">
        <f t="shared" si="12"/>
        <v>4</v>
      </c>
      <c r="V93" s="93">
        <f t="shared" si="12"/>
        <v>4</v>
      </c>
      <c r="W93" s="93">
        <f t="shared" si="12"/>
        <v>4</v>
      </c>
      <c r="X93" s="93">
        <f t="shared" si="12"/>
        <v>4</v>
      </c>
      <c r="Y93" s="93">
        <f t="shared" si="12"/>
        <v>4</v>
      </c>
      <c r="Z93" s="93">
        <f t="shared" si="12"/>
        <v>4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5</v>
      </c>
      <c r="P94" s="70">
        <f>ROUNDUP(ROUNDUP(P79/Inputs!$J$114,0)/(Inputs!$J$118*Inputs!$J$115*Inputs!$J$114),0)+1</f>
        <v>5</v>
      </c>
      <c r="Q94" s="70">
        <f>ROUNDUP(ROUNDUP(Q79/Inputs!$J$114,0)/(Inputs!$J$118*Inputs!$J$115*Inputs!$J$114),0)+1</f>
        <v>5</v>
      </c>
      <c r="R94" s="70">
        <f>ROUNDUP(ROUNDUP(R79/Inputs!$J$114,0)/(Inputs!$J$118*Inputs!$J$115*Inputs!$J$114),0)+1</f>
        <v>5</v>
      </c>
      <c r="S94" s="70">
        <f>ROUNDUP(ROUNDUP(S79/Inputs!$J$114,0)/(Inputs!$J$118*Inputs!$J$115*Inputs!$J$114),0)+1</f>
        <v>5</v>
      </c>
      <c r="T94" s="70">
        <f>ROUNDUP(ROUNDUP(T79/Inputs!$J$114,0)/(Inputs!$J$118*Inputs!$J$115*Inputs!$J$114),0)+1</f>
        <v>5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1.5</v>
      </c>
      <c r="P95" s="70">
        <f t="shared" ref="P95:Z95" si="13">MAX(0,((P94-1)-1)/2)</f>
        <v>1.5</v>
      </c>
      <c r="Q95" s="70">
        <f t="shared" si="13"/>
        <v>1.5</v>
      </c>
      <c r="R95" s="70">
        <f t="shared" si="13"/>
        <v>1.5</v>
      </c>
      <c r="S95" s="70">
        <f t="shared" si="13"/>
        <v>1.5</v>
      </c>
      <c r="T95" s="70">
        <f t="shared" si="13"/>
        <v>1.5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3.5</v>
      </c>
      <c r="P96" s="93">
        <f t="shared" ref="P96:Z96" si="14">IFERROR((P94-P95)/P94,0)*MAX(0,P94)</f>
        <v>3.5</v>
      </c>
      <c r="Q96" s="93">
        <f t="shared" si="14"/>
        <v>3.5</v>
      </c>
      <c r="R96" s="93">
        <f t="shared" si="14"/>
        <v>3.5</v>
      </c>
      <c r="S96" s="93">
        <f t="shared" si="14"/>
        <v>3.5</v>
      </c>
      <c r="T96" s="93">
        <f t="shared" si="14"/>
        <v>3.5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5</v>
      </c>
      <c r="P97" s="70">
        <f>ROUNDUP(ROUNDUP(P80/Inputs!$J$114,0)/(Inputs!$J$118*Inputs!$J$115*Inputs!$J$114),0)+1</f>
        <v>5</v>
      </c>
      <c r="Q97" s="70">
        <f>ROUNDUP(ROUNDUP(Q80/Inputs!$J$114,0)/(Inputs!$J$118*Inputs!$J$115*Inputs!$J$114),0)+1</f>
        <v>5</v>
      </c>
      <c r="R97" s="70">
        <f>ROUNDUP(ROUNDUP(R80/Inputs!$J$114,0)/(Inputs!$J$118*Inputs!$J$115*Inputs!$J$114),0)+1</f>
        <v>5</v>
      </c>
      <c r="S97" s="70">
        <f>ROUNDUP(ROUNDUP(S80/Inputs!$J$114,0)/(Inputs!$J$118*Inputs!$J$115*Inputs!$J$114),0)+1</f>
        <v>5</v>
      </c>
      <c r="T97" s="70">
        <f>ROUNDUP(ROUNDUP(T80/Inputs!$J$114,0)/(Inputs!$J$118*Inputs!$J$115*Inputs!$J$114),0)+1</f>
        <v>5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1.5</v>
      </c>
      <c r="P98" s="70">
        <f t="shared" ref="P98:Z98" si="15">MAX(0,((P97-1)-1)/2)</f>
        <v>1.5</v>
      </c>
      <c r="Q98" s="70">
        <f t="shared" si="15"/>
        <v>1.5</v>
      </c>
      <c r="R98" s="70">
        <f t="shared" si="15"/>
        <v>1.5</v>
      </c>
      <c r="S98" s="70">
        <f t="shared" si="15"/>
        <v>1.5</v>
      </c>
      <c r="T98" s="70">
        <f t="shared" si="15"/>
        <v>1.5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3.5</v>
      </c>
      <c r="P99" s="93">
        <f t="shared" ref="P99:Z99" si="16">IFERROR((P97-P98)/P97,0)*MAX(0,P97)</f>
        <v>3.5</v>
      </c>
      <c r="Q99" s="93">
        <f t="shared" si="16"/>
        <v>3.5</v>
      </c>
      <c r="R99" s="93">
        <f t="shared" si="16"/>
        <v>3.5</v>
      </c>
      <c r="S99" s="93">
        <f t="shared" si="16"/>
        <v>3.5</v>
      </c>
      <c r="T99" s="93">
        <f t="shared" si="16"/>
        <v>3.5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619758.12372453685</v>
      </c>
      <c r="P103" s="138">
        <f>IF(Inputs!$J$126&gt;0,P71*Inputs!$M$81/Inputs!$M$80*Inputs!$M$75*Inputs!$J$126,P77*Inputs!$M$75*P90*Inputs!$J$123)*$I$13</f>
        <v>615377.42471940257</v>
      </c>
      <c r="Q103" s="138">
        <f>IF(Inputs!$J$126&gt;0,Q71*Inputs!$M$81/Inputs!$M$80*Inputs!$M$75*Inputs!$J$126,Q77*Inputs!$M$75*Q90*Inputs!$J$123)*$I$13</f>
        <v>625772.57519228058</v>
      </c>
      <c r="R103" s="138">
        <f>IF(Inputs!$J$126&gt;0,R71*Inputs!$M$81/Inputs!$M$80*Inputs!$M$75*Inputs!$J$126,R77*Inputs!$M$75*R90*Inputs!$J$123)*$I$13</f>
        <v>648464.91638249601</v>
      </c>
      <c r="S103" s="138">
        <f>IF(Inputs!$J$126&gt;0,S71*Inputs!$M$81/Inputs!$M$80*Inputs!$M$75*Inputs!$J$126,S77*Inputs!$M$75*S90*Inputs!$J$123)*$I$13</f>
        <v>655302.91790696362</v>
      </c>
      <c r="T103" s="138">
        <f>IF(Inputs!$J$126&gt;0,T71*Inputs!$M$81/Inputs!$M$80*Inputs!$M$75*Inputs!$J$126,T77*Inputs!$M$75*T90*Inputs!$J$123)*$I$13</f>
        <v>665304.31268011138</v>
      </c>
      <c r="U103" s="138">
        <f>IF(Inputs!$J$126&gt;0,U71*Inputs!$M$81/Inputs!$M$80*Inputs!$M$75*Inputs!$J$126,U77*Inputs!$M$75*U90*Inputs!$J$123)*$I$13</f>
        <v>681065.21878999099</v>
      </c>
      <c r="V103" s="138">
        <f>IF(Inputs!$J$126&gt;0,V71*Inputs!$M$81/Inputs!$M$80*Inputs!$M$75*Inputs!$J$126,V77*Inputs!$M$75*V90*Inputs!$J$123)*$I$13</f>
        <v>681065.21878999099</v>
      </c>
      <c r="W103" s="138">
        <f>IF(Inputs!$J$126&gt;0,W71*Inputs!$M$81/Inputs!$M$80*Inputs!$M$75*Inputs!$J$126,W77*Inputs!$M$75*W90*Inputs!$J$123)*$I$13</f>
        <v>681065.21878999099</v>
      </c>
      <c r="X103" s="138">
        <f>IF(Inputs!$J$126&gt;0,X71*Inputs!$M$81/Inputs!$M$80*Inputs!$M$75*Inputs!$J$126,X77*Inputs!$M$75*X90*Inputs!$J$123)*$I$13</f>
        <v>681065.21878999099</v>
      </c>
      <c r="Y103" s="138">
        <f>IF(Inputs!$J$126&gt;0,Y71*Inputs!$M$81/Inputs!$M$80*Inputs!$M$75*Inputs!$J$126,Y77*Inputs!$M$75*Y90*Inputs!$J$123)*$I$13</f>
        <v>681065.21878999099</v>
      </c>
      <c r="Z103" s="138">
        <f>IF(Inputs!$J$126&gt;0,Z71*Inputs!$M$81/Inputs!$M$80*Inputs!$M$75*Inputs!$J$126,Z77*Inputs!$M$75*Z90*Inputs!$J$123)*$I$13</f>
        <v>681065.21878999099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1239516.2474490737</v>
      </c>
      <c r="P105" s="138">
        <f>IF(Inputs!$K$126&gt;0,P71*Inputs!$M$82/Inputs!$M$80*Inputs!$M$75*Inputs!$K$126,P78*Inputs!$M$75*P93*Inputs!$J$123)*$I$13</f>
        <v>1230754.8494388051</v>
      </c>
      <c r="Q105" s="138">
        <f>IF(Inputs!$K$126&gt;0,Q71*Inputs!$M$82/Inputs!$M$80*Inputs!$M$75*Inputs!$K$126,Q78*Inputs!$M$75*Q93*Inputs!$J$123)*$I$13</f>
        <v>1251545.1503845612</v>
      </c>
      <c r="R105" s="138">
        <f>IF(Inputs!$K$126&gt;0,R71*Inputs!$M$82/Inputs!$M$80*Inputs!$M$75*Inputs!$K$126,R78*Inputs!$M$75*R93*Inputs!$J$123)*$I$13</f>
        <v>1296929.832764992</v>
      </c>
      <c r="S105" s="138">
        <f>IF(Inputs!$K$126&gt;0,S71*Inputs!$M$82/Inputs!$M$80*Inputs!$M$75*Inputs!$K$126,S78*Inputs!$M$75*S93*Inputs!$J$123)*$I$13</f>
        <v>1310605.8358139272</v>
      </c>
      <c r="T105" s="138">
        <f>IF(Inputs!$K$126&gt;0,T71*Inputs!$M$82/Inputs!$M$80*Inputs!$M$75*Inputs!$K$126,T78*Inputs!$M$75*T93*Inputs!$J$123)*$I$13</f>
        <v>1330608.6253602228</v>
      </c>
      <c r="U105" s="138">
        <f>IF(Inputs!$K$126&gt;0,U71*Inputs!$M$82/Inputs!$M$80*Inputs!$M$75*Inputs!$K$126,U78*Inputs!$M$75*U93*Inputs!$J$123)*$I$13</f>
        <v>1362130.437579982</v>
      </c>
      <c r="V105" s="138">
        <f>IF(Inputs!$K$126&gt;0,V71*Inputs!$M$82/Inputs!$M$80*Inputs!$M$75*Inputs!$K$126,V78*Inputs!$M$75*V93*Inputs!$J$123)*$I$13</f>
        <v>1362130.437579982</v>
      </c>
      <c r="W105" s="138">
        <f>IF(Inputs!$K$126&gt;0,W71*Inputs!$M$82/Inputs!$M$80*Inputs!$M$75*Inputs!$K$126,W78*Inputs!$M$75*W93*Inputs!$J$123)*$I$13</f>
        <v>1362130.437579982</v>
      </c>
      <c r="X105" s="138">
        <f>IF(Inputs!$K$126&gt;0,X71*Inputs!$M$82/Inputs!$M$80*Inputs!$M$75*Inputs!$K$126,X78*Inputs!$M$75*X93*Inputs!$J$123)*$I$13</f>
        <v>1362130.437579982</v>
      </c>
      <c r="Y105" s="138">
        <f>IF(Inputs!$K$126&gt;0,Y71*Inputs!$M$82/Inputs!$M$80*Inputs!$M$75*Inputs!$K$126,Y78*Inputs!$M$75*Y93*Inputs!$J$123)*$I$13</f>
        <v>1362130.437579982</v>
      </c>
      <c r="Z105" s="138">
        <f>IF(Inputs!$K$126&gt;0,Z71*Inputs!$M$82/Inputs!$M$80*Inputs!$M$75*Inputs!$K$126,Z78*Inputs!$M$75*Z93*Inputs!$J$123)*$I$13</f>
        <v>1362130.437579982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9.8674011498335878E-2</v>
      </c>
      <c r="P114" s="56">
        <f>Inputs!P64*$I$9</f>
        <v>0.10616274606012402</v>
      </c>
      <c r="Q114" s="56">
        <f>Inputs!Q64*$I$9</f>
        <v>0.11429634508544587</v>
      </c>
      <c r="R114" s="56">
        <f>Inputs!R64*$I$9</f>
        <v>0.12313349155364925</v>
      </c>
      <c r="S114" s="56">
        <f>Inputs!S64*$I$9</f>
        <v>0.13273838825914946</v>
      </c>
      <c r="T114" s="56">
        <f>Inputs!T64*$I$9</f>
        <v>0.14318128790219287</v>
      </c>
      <c r="U114" s="56">
        <f>Inputs!U64*$I$9</f>
        <v>0.15453907477674639</v>
      </c>
      <c r="V114" s="56">
        <f>Inputs!V64*$I$9</f>
        <v>0.16689590312264438</v>
      </c>
      <c r="W114" s="56">
        <f>Inputs!W64*$I$9</f>
        <v>0.18034389770969292</v>
      </c>
      <c r="X114" s="56">
        <f>Inputs!X64*$I$9</f>
        <v>0.19498392277163656</v>
      </c>
      <c r="Y114" s="56">
        <f>Inputs!Y64*$I$9</f>
        <v>0.21092642601269249</v>
      </c>
      <c r="Z114" s="56">
        <f>Inputs!Z64*$I$9</f>
        <v>0.22829236507414266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1.2334251437291985E-3</v>
      </c>
      <c r="P115" s="56">
        <f>Inputs!P65*$I$9</f>
        <v>1.3270343257515494E-3</v>
      </c>
      <c r="Q115" s="56">
        <f>Inputs!Q65*$I$9</f>
        <v>1.4287043135680737E-3</v>
      </c>
      <c r="R115" s="56">
        <f>Inputs!R65*$I$9</f>
        <v>1.5391686444206154E-3</v>
      </c>
      <c r="S115" s="56">
        <f>Inputs!S65*$I$9</f>
        <v>1.6592298532393686E-3</v>
      </c>
      <c r="T115" s="56">
        <f>Inputs!T65*$I$9</f>
        <v>1.7897660987774096E-3</v>
      </c>
      <c r="U115" s="56">
        <f>Inputs!U65*$I$9</f>
        <v>1.9317384347093294E-3</v>
      </c>
      <c r="V115" s="56">
        <f>Inputs!V65*$I$9</f>
        <v>2.0861987890330551E-3</v>
      </c>
      <c r="W115" s="56">
        <f>Inputs!W65*$I$9</f>
        <v>2.2542987213711604E-3</v>
      </c>
      <c r="X115" s="56">
        <f>Inputs!X65*$I$9</f>
        <v>2.4372990346454571E-3</v>
      </c>
      <c r="Y115" s="56">
        <f>Inputs!Y65*$I$9</f>
        <v>2.6365803251586556E-3</v>
      </c>
      <c r="Z115" s="56">
        <f>Inputs!Z65*$I$9</f>
        <v>2.8536545634267824E-3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61154.020226582019</v>
      </c>
      <c r="P119" s="70">
        <f t="shared" ref="P119:Z119" si="17">P103*P114*$T$37</f>
        <v>65330.15727161902</v>
      </c>
      <c r="Q119" s="70">
        <f t="shared" si="17"/>
        <v>71523.518199185026</v>
      </c>
      <c r="R119" s="70">
        <f t="shared" si="17"/>
        <v>79847.749304221943</v>
      </c>
      <c r="S119" s="70">
        <f t="shared" si="17"/>
        <v>86983.853144488079</v>
      </c>
      <c r="T119" s="70">
        <f t="shared" si="17"/>
        <v>95259.128336421578</v>
      </c>
      <c r="U119" s="70">
        <f t="shared" si="17"/>
        <v>105251.18877442756</v>
      </c>
      <c r="V119" s="70">
        <f t="shared" si="17"/>
        <v>113666.99477537694</v>
      </c>
      <c r="W119" s="70">
        <f t="shared" si="17"/>
        <v>122825.95615109176</v>
      </c>
      <c r="X119" s="70">
        <f t="shared" si="17"/>
        <v>132796.76802299535</v>
      </c>
      <c r="Y119" s="70">
        <f t="shared" si="17"/>
        <v>143654.65248092526</v>
      </c>
      <c r="Z119" s="70">
        <f t="shared" si="17"/>
        <v>155481.98956730546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1528.8505056645504</v>
      </c>
      <c r="P120" s="138">
        <f t="shared" ref="P120:Z120" si="20">P105*P115*$T$27</f>
        <v>1633.2539317904743</v>
      </c>
      <c r="Q120" s="138">
        <f t="shared" si="20"/>
        <v>1788.0879549796259</v>
      </c>
      <c r="R120" s="138">
        <f t="shared" si="20"/>
        <v>1996.1937326055483</v>
      </c>
      <c r="S120" s="138">
        <f t="shared" si="20"/>
        <v>2174.5963286122023</v>
      </c>
      <c r="T120" s="138">
        <f t="shared" si="20"/>
        <v>2381.4782084105377</v>
      </c>
      <c r="U120" s="138">
        <f t="shared" si="20"/>
        <v>2631.2797193606884</v>
      </c>
      <c r="V120" s="138">
        <f t="shared" si="20"/>
        <v>2841.6748693844238</v>
      </c>
      <c r="W120" s="138">
        <f t="shared" si="20"/>
        <v>3070.6489037772926</v>
      </c>
      <c r="X120" s="138">
        <f t="shared" si="20"/>
        <v>3319.9192005748841</v>
      </c>
      <c r="Y120" s="138">
        <f t="shared" si="20"/>
        <v>3591.3663120231308</v>
      </c>
      <c r="Z120" s="138">
        <f t="shared" si="20"/>
        <v>3887.0497391826357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12276.179954732665</v>
      </c>
      <c r="P124" s="70">
        <f t="shared" si="21"/>
        <v>13207.864516024549</v>
      </c>
      <c r="Q124" s="70">
        <f t="shared" si="21"/>
        <v>14219.777620582714</v>
      </c>
      <c r="R124" s="70">
        <f t="shared" si="21"/>
        <v>15319.220104805872</v>
      </c>
      <c r="S124" s="70">
        <f t="shared" si="21"/>
        <v>16514.179533462811</v>
      </c>
      <c r="T124" s="70">
        <f t="shared" si="21"/>
        <v>17813.396149069609</v>
      </c>
      <c r="U124" s="70">
        <f t="shared" si="21"/>
        <v>19226.435240541745</v>
      </c>
      <c r="V124" s="70">
        <f t="shared" si="21"/>
        <v>20763.766561530389</v>
      </c>
      <c r="W124" s="70">
        <f t="shared" si="21"/>
        <v>22436.851491128724</v>
      </c>
      <c r="X124" s="70">
        <f t="shared" si="21"/>
        <v>24258.238698085923</v>
      </c>
      <c r="Y124" s="70">
        <f t="shared" si="21"/>
        <v>26241.669144910433</v>
      </c>
      <c r="Z124" s="70">
        <f t="shared" si="21"/>
        <v>28402.191350951271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350.18452236676626</v>
      </c>
      <c r="P125" s="70">
        <f t="shared" si="22"/>
        <v>376.76131696374563</v>
      </c>
      <c r="Q125" s="70">
        <f t="shared" si="22"/>
        <v>405.62667316600357</v>
      </c>
      <c r="R125" s="70">
        <f t="shared" si="22"/>
        <v>436.98885119101607</v>
      </c>
      <c r="S125" s="70">
        <f t="shared" si="22"/>
        <v>471.0757005460203</v>
      </c>
      <c r="T125" s="70">
        <f t="shared" si="22"/>
        <v>508.13654126885706</v>
      </c>
      <c r="U125" s="70">
        <f t="shared" si="22"/>
        <v>548.44422828202926</v>
      </c>
      <c r="V125" s="70">
        <f t="shared" si="22"/>
        <v>592.2974168427213</v>
      </c>
      <c r="W125" s="70">
        <f t="shared" si="22"/>
        <v>640.02304884802231</v>
      </c>
      <c r="X125" s="70">
        <f t="shared" si="22"/>
        <v>691.97908170719836</v>
      </c>
      <c r="Y125" s="70">
        <f t="shared" si="22"/>
        <v>748.55748363924033</v>
      </c>
      <c r="Z125" s="70">
        <f t="shared" si="22"/>
        <v>810.18752161318901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5135.9549097345143</v>
      </c>
      <c r="P127" s="70">
        <f>Inputs!$J$27*$I$11</f>
        <v>5135.9549097345143</v>
      </c>
      <c r="Q127" s="70">
        <f>Inputs!$J$27*$I$11</f>
        <v>5135.9549097345143</v>
      </c>
      <c r="R127" s="70">
        <f>Inputs!$J$27*$I$11</f>
        <v>5135.9549097345143</v>
      </c>
      <c r="S127" s="70">
        <f>Inputs!$J$27*$I$11</f>
        <v>5135.9549097345143</v>
      </c>
      <c r="T127" s="70">
        <f>Inputs!$J$27*$I$11</f>
        <v>5135.9549097345143</v>
      </c>
      <c r="U127" s="70">
        <f>Inputs!$J$27*$I$11</f>
        <v>5135.9549097345143</v>
      </c>
      <c r="V127" s="70">
        <f>Inputs!$J$27*$I$11</f>
        <v>5135.9549097345143</v>
      </c>
      <c r="W127" s="70">
        <f>Inputs!$J$27*$I$11</f>
        <v>5135.9549097345143</v>
      </c>
      <c r="X127" s="70">
        <f>Inputs!$J$27*$I$11</f>
        <v>5135.9549097345143</v>
      </c>
      <c r="Y127" s="70">
        <f>Inputs!$J$27*$I$11</f>
        <v>5135.9549097345143</v>
      </c>
      <c r="Z127" s="70">
        <f>Inputs!$J$27*$I$11</f>
        <v>5135.9549097345143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80445.190119080507</v>
      </c>
      <c r="P128" s="98">
        <f t="shared" ref="P128:Z128" si="24">SUM(P119:P127)</f>
        <v>85683.991946132315</v>
      </c>
      <c r="Q128" s="98">
        <f t="shared" si="24"/>
        <v>93072.965357647874</v>
      </c>
      <c r="R128" s="98">
        <f t="shared" si="24"/>
        <v>102736.10690255889</v>
      </c>
      <c r="S128" s="98">
        <f t="shared" si="24"/>
        <v>111279.65961684362</v>
      </c>
      <c r="T128" s="98">
        <f t="shared" si="24"/>
        <v>121098.0941449051</v>
      </c>
      <c r="U128" s="98">
        <f t="shared" si="24"/>
        <v>132793.30287234651</v>
      </c>
      <c r="V128" s="98">
        <f t="shared" si="24"/>
        <v>143000.68853286898</v>
      </c>
      <c r="W128" s="98">
        <f t="shared" si="24"/>
        <v>154109.43450458033</v>
      </c>
      <c r="X128" s="98">
        <f t="shared" si="24"/>
        <v>166202.85991309787</v>
      </c>
      <c r="Y128" s="98">
        <f t="shared" si="24"/>
        <v>179372.2003312326</v>
      </c>
      <c r="Z128" s="98">
        <f t="shared" si="24"/>
        <v>193717.37308878708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0</v>
      </c>
      <c r="S135" s="70">
        <f>Inputs!S22*'Scenario B'!$I$10</f>
        <v>1049200.8849557522</v>
      </c>
      <c r="T135" s="70">
        <f>Inputs!T22*'Scenario B'!$I$10</f>
        <v>0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58587.349611471262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4301.2573168141598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62888.606928285422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80445.190119080507</v>
      </c>
      <c r="P147" s="70">
        <f t="shared" ref="P147:Z147" si="27">P128</f>
        <v>85683.991946132315</v>
      </c>
      <c r="Q147" s="70">
        <f t="shared" si="27"/>
        <v>93072.965357647874</v>
      </c>
      <c r="R147" s="70">
        <f t="shared" si="27"/>
        <v>102736.10690255889</v>
      </c>
      <c r="S147" s="70">
        <f t="shared" si="27"/>
        <v>111279.65961684362</v>
      </c>
      <c r="T147" s="70">
        <f t="shared" si="27"/>
        <v>121098.0941449051</v>
      </c>
      <c r="U147" s="70">
        <f t="shared" si="27"/>
        <v>132793.30287234651</v>
      </c>
      <c r="V147" s="70">
        <f t="shared" si="27"/>
        <v>143000.68853286898</v>
      </c>
      <c r="W147" s="70">
        <f t="shared" si="27"/>
        <v>154109.43450458033</v>
      </c>
      <c r="X147" s="70">
        <f t="shared" si="27"/>
        <v>166202.85991309787</v>
      </c>
      <c r="Y147" s="70">
        <f t="shared" si="27"/>
        <v>179372.2003312326</v>
      </c>
      <c r="Z147" s="70">
        <f t="shared" si="27"/>
        <v>193717.37308878708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62888.606928285422</v>
      </c>
      <c r="P148" s="70">
        <f t="shared" ref="P148:Z148" si="28">$J$140</f>
        <v>62888.606928285422</v>
      </c>
      <c r="Q148" s="70">
        <f t="shared" si="28"/>
        <v>62888.606928285422</v>
      </c>
      <c r="R148" s="70">
        <f t="shared" si="28"/>
        <v>62888.606928285422</v>
      </c>
      <c r="S148" s="70">
        <f t="shared" si="28"/>
        <v>62888.606928285422</v>
      </c>
      <c r="T148" s="70">
        <f t="shared" si="28"/>
        <v>62888.606928285422</v>
      </c>
      <c r="U148" s="70">
        <f t="shared" si="28"/>
        <v>62888.606928285422</v>
      </c>
      <c r="V148" s="70">
        <f t="shared" si="28"/>
        <v>62888.606928285422</v>
      </c>
      <c r="W148" s="70">
        <f t="shared" si="28"/>
        <v>62888.606928285422</v>
      </c>
      <c r="X148" s="70">
        <f t="shared" si="28"/>
        <v>62888.606928285422</v>
      </c>
      <c r="Y148" s="70">
        <f t="shared" si="28"/>
        <v>62888.606928285422</v>
      </c>
      <c r="Z148" s="70">
        <f t="shared" si="28"/>
        <v>62888.606928285422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TK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1674434.2290101526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1674434.2290101526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256471.32743362832</v>
      </c>
      <c r="S30" s="72">
        <v>0</v>
      </c>
      <c r="T30" s="73">
        <f>'Base Case'!$T30</f>
        <v>1</v>
      </c>
      <c r="U30" s="74">
        <f t="shared" si="0"/>
        <v>256471.32743362832</v>
      </c>
      <c r="V30" s="75">
        <f t="shared" si="1"/>
        <v>256471.32743362832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837217.11450507632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837217.11450507632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85490.442477876102</v>
      </c>
      <c r="S40" s="72">
        <v>0</v>
      </c>
      <c r="T40" s="73">
        <f>'Base Case'!$T40</f>
        <v>1</v>
      </c>
      <c r="U40" s="74">
        <f t="shared" si="0"/>
        <v>85490.442477876102</v>
      </c>
      <c r="V40" s="75">
        <f t="shared" si="1"/>
        <v>85490.442477876102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837217.11450507632</v>
      </c>
      <c r="P49" s="70">
        <f t="shared" ref="P49:V49" si="2">SUMIF($I$17:$I$46,$I49,P$17:P$46)</f>
        <v>4243.0067963233114</v>
      </c>
      <c r="Q49" s="70">
        <f t="shared" si="2"/>
        <v>56993.62831858408</v>
      </c>
      <c r="R49" s="70">
        <f t="shared" si="2"/>
        <v>85490.442477876102</v>
      </c>
      <c r="S49" s="70">
        <f t="shared" si="2"/>
        <v>4388.5093805309734</v>
      </c>
      <c r="T49" s="56">
        <f>U49/SUM(O49:S49)</f>
        <v>1</v>
      </c>
      <c r="U49" s="70">
        <f t="shared" si="2"/>
        <v>988332.70147839072</v>
      </c>
      <c r="V49" s="70">
        <f t="shared" si="2"/>
        <v>151115.58697331446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1674434.2290101526</v>
      </c>
      <c r="P50" s="70">
        <f t="shared" si="3"/>
        <v>14850.523787131588</v>
      </c>
      <c r="Q50" s="70">
        <f t="shared" si="3"/>
        <v>56993.62831858408</v>
      </c>
      <c r="R50" s="70">
        <f t="shared" si="3"/>
        <v>256471.32743362832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2018137.9881955141</v>
      </c>
      <c r="V50" s="70">
        <f t="shared" si="3"/>
        <v>343703.75918536168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3006470.6896739048</v>
      </c>
      <c r="V52" s="88">
        <f>SUM(V49:V51)</f>
        <v>494819.34615867614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52.9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52.075800000000001</v>
      </c>
      <c r="P69" s="70">
        <f>Inputs!P185*$I$12</f>
        <v>51.154950000000007</v>
      </c>
      <c r="Q69" s="70">
        <f>Inputs!Q185*$I$12</f>
        <v>52.381350000000005</v>
      </c>
      <c r="R69" s="70">
        <f>Inputs!R185*$I$12</f>
        <v>54.789000000000001</v>
      </c>
      <c r="S69" s="70">
        <f>Inputs!S185*$I$12</f>
        <v>54.901350000000001</v>
      </c>
      <c r="T69" s="70">
        <f>Inputs!T185*$I$12</f>
        <v>55.924050000000008</v>
      </c>
      <c r="U69" s="70">
        <f>Inputs!U185*$I$12</f>
        <v>57.976800000000004</v>
      </c>
      <c r="V69" s="70">
        <f>Inputs!V185*$I$12</f>
        <v>57.976800000000004</v>
      </c>
      <c r="W69" s="70">
        <f>Inputs!W185*$I$12</f>
        <v>57.976800000000004</v>
      </c>
      <c r="X69" s="70">
        <f>Inputs!X185*$I$12</f>
        <v>57.976800000000004</v>
      </c>
      <c r="Y69" s="70">
        <f>Inputs!Y185*$I$12</f>
        <v>57.976800000000004</v>
      </c>
      <c r="Z69" s="70">
        <f>Inputs!Z185*$I$12</f>
        <v>57.976800000000004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47.329800000000006</v>
      </c>
      <c r="P70" s="70">
        <f>Inputs!P186*$I$12</f>
        <v>47.232149999999997</v>
      </c>
      <c r="Q70" s="70">
        <f>Inputs!Q186*$I$12</f>
        <v>47.874749999999999</v>
      </c>
      <c r="R70" s="70">
        <f>Inputs!R186*$I$12</f>
        <v>49.393049999999995</v>
      </c>
      <c r="S70" s="70">
        <f>Inputs!S186*$I$12</f>
        <v>50.113349999999997</v>
      </c>
      <c r="T70" s="70">
        <f>Inputs!T186*$I$12</f>
        <v>50.799000000000007</v>
      </c>
      <c r="U70" s="70">
        <f>Inputs!U186*$I$12</f>
        <v>51.690449999999998</v>
      </c>
      <c r="V70" s="70">
        <f>Inputs!V186*$I$12</f>
        <v>51.690449999999998</v>
      </c>
      <c r="W70" s="70">
        <f>Inputs!W186*$I$12</f>
        <v>51.690449999999998</v>
      </c>
      <c r="X70" s="70">
        <f>Inputs!X186*$I$12</f>
        <v>51.690449999999998</v>
      </c>
      <c r="Y70" s="70">
        <f>Inputs!Y186*$I$12</f>
        <v>51.690449999999998</v>
      </c>
      <c r="Z70" s="70">
        <f>Inputs!Z186*$I$12</f>
        <v>51.690449999999998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48.753600000000006</v>
      </c>
      <c r="P71" s="70">
        <f>Inputs!P187*$I$12</f>
        <v>48.408990000000003</v>
      </c>
      <c r="Q71" s="70">
        <f>Inputs!Q187*$I$12</f>
        <v>49.226729999999996</v>
      </c>
      <c r="R71" s="70">
        <f>Inputs!R187*$I$12</f>
        <v>51.011835000000005</v>
      </c>
      <c r="S71" s="70">
        <f>Inputs!S187*$I$12</f>
        <v>51.549750000000003</v>
      </c>
      <c r="T71" s="70">
        <f>Inputs!T187*$I$12</f>
        <v>52.336515000000006</v>
      </c>
      <c r="U71" s="70">
        <f>Inputs!U187*$I$12</f>
        <v>53.576355</v>
      </c>
      <c r="V71" s="70">
        <f>Inputs!V187*$I$12</f>
        <v>53.576355</v>
      </c>
      <c r="W71" s="70">
        <f>Inputs!W187*$I$12</f>
        <v>53.576355</v>
      </c>
      <c r="X71" s="70">
        <f>Inputs!X187*$I$12</f>
        <v>53.576355</v>
      </c>
      <c r="Y71" s="70">
        <f>Inputs!Y187*$I$12</f>
        <v>53.576355</v>
      </c>
      <c r="Z71" s="70">
        <f>Inputs!Z187*$I$12</f>
        <v>53.576355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0.67635500000000093</v>
      </c>
      <c r="V77" s="70">
        <f t="shared" si="5"/>
        <v>0.67635500000000093</v>
      </c>
      <c r="W77" s="70">
        <f t="shared" si="5"/>
        <v>0.67635500000000093</v>
      </c>
      <c r="X77" s="70">
        <f t="shared" si="5"/>
        <v>0.67635500000000093</v>
      </c>
      <c r="Y77" s="70">
        <f t="shared" si="5"/>
        <v>0.67635500000000093</v>
      </c>
      <c r="Z77" s="70">
        <f t="shared" si="5"/>
        <v>0.67635500000000093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48.753600000000006</v>
      </c>
      <c r="P78" s="70">
        <f t="shared" si="5"/>
        <v>48.408990000000003</v>
      </c>
      <c r="Q78" s="70">
        <f t="shared" si="5"/>
        <v>49.226729999999996</v>
      </c>
      <c r="R78" s="70">
        <f t="shared" si="5"/>
        <v>51.011835000000005</v>
      </c>
      <c r="S78" s="70">
        <f t="shared" si="5"/>
        <v>51.549750000000003</v>
      </c>
      <c r="T78" s="70">
        <f t="shared" si="5"/>
        <v>52.336515000000006</v>
      </c>
      <c r="U78" s="70">
        <f t="shared" si="5"/>
        <v>53.576355</v>
      </c>
      <c r="V78" s="70">
        <f t="shared" si="5"/>
        <v>53.576355</v>
      </c>
      <c r="W78" s="70">
        <f t="shared" si="5"/>
        <v>53.576355</v>
      </c>
      <c r="X78" s="70">
        <f t="shared" si="5"/>
        <v>53.576355</v>
      </c>
      <c r="Y78" s="70">
        <f t="shared" si="5"/>
        <v>53.576355</v>
      </c>
      <c r="Z78" s="70">
        <f t="shared" si="5"/>
        <v>53.576355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48.753600000000006</v>
      </c>
      <c r="P79" s="70">
        <f t="shared" si="5"/>
        <v>48.408990000000003</v>
      </c>
      <c r="Q79" s="70">
        <f t="shared" si="5"/>
        <v>49.226729999999996</v>
      </c>
      <c r="R79" s="70">
        <f t="shared" si="5"/>
        <v>51.011835000000005</v>
      </c>
      <c r="S79" s="70">
        <f t="shared" si="5"/>
        <v>51.549750000000003</v>
      </c>
      <c r="T79" s="70">
        <f t="shared" si="5"/>
        <v>52.336515000000006</v>
      </c>
      <c r="U79" s="70">
        <f t="shared" si="5"/>
        <v>53.576355</v>
      </c>
      <c r="V79" s="70">
        <f t="shared" si="5"/>
        <v>53.576355</v>
      </c>
      <c r="W79" s="70">
        <f t="shared" si="5"/>
        <v>53.576355</v>
      </c>
      <c r="X79" s="70">
        <f t="shared" si="5"/>
        <v>53.576355</v>
      </c>
      <c r="Y79" s="70">
        <f t="shared" si="5"/>
        <v>53.576355</v>
      </c>
      <c r="Z79" s="70">
        <f t="shared" si="5"/>
        <v>53.576355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48.753600000000006</v>
      </c>
      <c r="P80" s="70">
        <f t="shared" si="5"/>
        <v>48.408990000000003</v>
      </c>
      <c r="Q80" s="70">
        <f t="shared" si="5"/>
        <v>49.226729999999996</v>
      </c>
      <c r="R80" s="70">
        <f t="shared" si="5"/>
        <v>51.011835000000005</v>
      </c>
      <c r="S80" s="70">
        <f t="shared" si="5"/>
        <v>51.549750000000003</v>
      </c>
      <c r="T80" s="70">
        <f t="shared" si="5"/>
        <v>52.336515000000006</v>
      </c>
      <c r="U80" s="70">
        <f t="shared" si="5"/>
        <v>53.576355</v>
      </c>
      <c r="V80" s="70">
        <f t="shared" si="5"/>
        <v>53.576355</v>
      </c>
      <c r="W80" s="70">
        <f t="shared" si="5"/>
        <v>53.576355</v>
      </c>
      <c r="X80" s="70">
        <f t="shared" si="5"/>
        <v>53.576355</v>
      </c>
      <c r="Y80" s="70">
        <f t="shared" si="5"/>
        <v>53.576355</v>
      </c>
      <c r="Z80" s="70">
        <f t="shared" si="5"/>
        <v>53.576355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6</v>
      </c>
      <c r="U91" s="70">
        <f>ROUNDUP(ROUNDUP(U78/Inputs!$J$114,0)/(Inputs!$J$118*Inputs!$J$115*Inputs!$J$114),0)+1</f>
        <v>6</v>
      </c>
      <c r="V91" s="70">
        <f>ROUNDUP(ROUNDUP(V78/Inputs!$J$114,0)/(Inputs!$J$118*Inputs!$J$115*Inputs!$J$114),0)+1</f>
        <v>6</v>
      </c>
      <c r="W91" s="70">
        <f>ROUNDUP(ROUNDUP(W78/Inputs!$J$114,0)/(Inputs!$J$118*Inputs!$J$115*Inputs!$J$114),0)+1</f>
        <v>6</v>
      </c>
      <c r="X91" s="70">
        <f>ROUNDUP(ROUNDUP(X78/Inputs!$J$114,0)/(Inputs!$J$118*Inputs!$J$115*Inputs!$J$114),0)+1</f>
        <v>6</v>
      </c>
      <c r="Y91" s="70">
        <f>ROUNDUP(ROUNDUP(Y78/Inputs!$J$114,0)/(Inputs!$J$118*Inputs!$J$115*Inputs!$J$114),0)+1</f>
        <v>6</v>
      </c>
      <c r="Z91" s="70">
        <f>ROUNDUP(ROUNDUP(Z78/Inputs!$J$114,0)/(Inputs!$J$118*Inputs!$J$115*Inputs!$J$114),0)+1</f>
        <v>6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</v>
      </c>
      <c r="S92" s="70">
        <f t="shared" si="11"/>
        <v>2</v>
      </c>
      <c r="T92" s="70">
        <f t="shared" si="11"/>
        <v>2</v>
      </c>
      <c r="U92" s="70">
        <f t="shared" si="11"/>
        <v>2</v>
      </c>
      <c r="V92" s="70">
        <f t="shared" si="11"/>
        <v>2</v>
      </c>
      <c r="W92" s="70">
        <f t="shared" si="11"/>
        <v>2</v>
      </c>
      <c r="X92" s="70">
        <f t="shared" si="11"/>
        <v>2</v>
      </c>
      <c r="Y92" s="70">
        <f t="shared" si="11"/>
        <v>2</v>
      </c>
      <c r="Z92" s="70">
        <f t="shared" si="11"/>
        <v>2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</v>
      </c>
      <c r="S93" s="93">
        <f t="shared" si="12"/>
        <v>4</v>
      </c>
      <c r="T93" s="93">
        <f t="shared" si="12"/>
        <v>4</v>
      </c>
      <c r="U93" s="93">
        <f t="shared" si="12"/>
        <v>4</v>
      </c>
      <c r="V93" s="93">
        <f t="shared" si="12"/>
        <v>4</v>
      </c>
      <c r="W93" s="93">
        <f t="shared" si="12"/>
        <v>4</v>
      </c>
      <c r="X93" s="93">
        <f t="shared" si="12"/>
        <v>4</v>
      </c>
      <c r="Y93" s="93">
        <f t="shared" si="12"/>
        <v>4</v>
      </c>
      <c r="Z93" s="93">
        <f t="shared" si="12"/>
        <v>4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837217.11450507632</v>
      </c>
      <c r="P103" s="138">
        <f>IF(Inputs!$J$126&gt;0,P71*Inputs!$M$81/Inputs!$M$80*Inputs!$M$75*Inputs!$J$126,P77*Inputs!$M$75*P90*Inputs!$J$123)*$I$13</f>
        <v>831299.32812971936</v>
      </c>
      <c r="Q103" s="138">
        <f>IF(Inputs!$J$126&gt;0,Q71*Inputs!$M$81/Inputs!$M$80*Inputs!$M$75*Inputs!$J$126,Q77*Inputs!$M$75*Q90*Inputs!$J$123)*$I$13</f>
        <v>845341.89982115093</v>
      </c>
      <c r="R103" s="138">
        <f>IF(Inputs!$J$126&gt;0,R71*Inputs!$M$81/Inputs!$M$80*Inputs!$M$75*Inputs!$J$126,R77*Inputs!$M$75*R90*Inputs!$J$123)*$I$13</f>
        <v>875996.46599038946</v>
      </c>
      <c r="S103" s="138">
        <f>IF(Inputs!$J$126&gt;0,S71*Inputs!$M$81/Inputs!$M$80*Inputs!$M$75*Inputs!$J$126,S77*Inputs!$M$75*S90*Inputs!$J$123)*$I$13</f>
        <v>885233.76629537204</v>
      </c>
      <c r="T103" s="138">
        <f>IF(Inputs!$J$126&gt;0,T71*Inputs!$M$81/Inputs!$M$80*Inputs!$M$75*Inputs!$J$126,T77*Inputs!$M$75*T90*Inputs!$J$123)*$I$13</f>
        <v>898744.42239243141</v>
      </c>
      <c r="U103" s="138">
        <f>IF(Inputs!$J$126&gt;0,U71*Inputs!$M$81/Inputs!$M$80*Inputs!$M$75*Inputs!$J$126,U77*Inputs!$M$75*U90*Inputs!$J$123)*$I$13</f>
        <v>920035.47099700558</v>
      </c>
      <c r="V103" s="138">
        <f>IF(Inputs!$J$126&gt;0,V71*Inputs!$M$81/Inputs!$M$80*Inputs!$M$75*Inputs!$J$126,V77*Inputs!$M$75*V90*Inputs!$J$123)*$I$13</f>
        <v>920035.47099700558</v>
      </c>
      <c r="W103" s="138">
        <f>IF(Inputs!$J$126&gt;0,W71*Inputs!$M$81/Inputs!$M$80*Inputs!$M$75*Inputs!$J$126,W77*Inputs!$M$75*W90*Inputs!$J$123)*$I$13</f>
        <v>920035.47099700558</v>
      </c>
      <c r="X103" s="138">
        <f>IF(Inputs!$J$126&gt;0,X71*Inputs!$M$81/Inputs!$M$80*Inputs!$M$75*Inputs!$J$126,X77*Inputs!$M$75*X90*Inputs!$J$123)*$I$13</f>
        <v>920035.47099700558</v>
      </c>
      <c r="Y103" s="138">
        <f>IF(Inputs!$J$126&gt;0,Y71*Inputs!$M$81/Inputs!$M$80*Inputs!$M$75*Inputs!$J$126,Y77*Inputs!$M$75*Y90*Inputs!$J$123)*$I$13</f>
        <v>920035.47099700558</v>
      </c>
      <c r="Z103" s="138">
        <f>IF(Inputs!$J$126&gt;0,Z71*Inputs!$M$81/Inputs!$M$80*Inputs!$M$75*Inputs!$J$126,Z77*Inputs!$M$75*Z90*Inputs!$J$123)*$I$13</f>
        <v>920035.47099700558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1674434.2290101526</v>
      </c>
      <c r="P105" s="138">
        <f>IF(Inputs!$K$126&gt;0,P71*Inputs!$M$82/Inputs!$M$80*Inputs!$M$75*Inputs!$K$126,P78*Inputs!$M$75*P93*Inputs!$J$123)*$I$13</f>
        <v>1662598.6562594387</v>
      </c>
      <c r="Q105" s="138">
        <f>IF(Inputs!$K$126&gt;0,Q71*Inputs!$M$82/Inputs!$M$80*Inputs!$M$75*Inputs!$K$126,Q78*Inputs!$M$75*Q93*Inputs!$J$123)*$I$13</f>
        <v>1690683.7996423019</v>
      </c>
      <c r="R105" s="138">
        <f>IF(Inputs!$K$126&gt;0,R71*Inputs!$M$82/Inputs!$M$80*Inputs!$M$75*Inputs!$K$126,R78*Inputs!$M$75*R93*Inputs!$J$123)*$I$13</f>
        <v>1751992.9319807789</v>
      </c>
      <c r="S105" s="138">
        <f>IF(Inputs!$K$126&gt;0,S71*Inputs!$M$82/Inputs!$M$80*Inputs!$M$75*Inputs!$K$126,S78*Inputs!$M$75*S93*Inputs!$J$123)*$I$13</f>
        <v>1770467.5325907441</v>
      </c>
      <c r="T105" s="138">
        <f>IF(Inputs!$K$126&gt;0,T71*Inputs!$M$82/Inputs!$M$80*Inputs!$M$75*Inputs!$K$126,T78*Inputs!$M$75*T93*Inputs!$J$123)*$I$13</f>
        <v>1797488.8447848628</v>
      </c>
      <c r="U105" s="138">
        <f>IF(Inputs!$K$126&gt;0,U71*Inputs!$M$82/Inputs!$M$80*Inputs!$M$75*Inputs!$K$126,U78*Inputs!$M$75*U93*Inputs!$J$123)*$I$13</f>
        <v>1840070.9419940112</v>
      </c>
      <c r="V105" s="138">
        <f>IF(Inputs!$K$126&gt;0,V71*Inputs!$M$82/Inputs!$M$80*Inputs!$M$75*Inputs!$K$126,V78*Inputs!$M$75*V93*Inputs!$J$123)*$I$13</f>
        <v>1840070.9419940112</v>
      </c>
      <c r="W105" s="138">
        <f>IF(Inputs!$K$126&gt;0,W71*Inputs!$M$82/Inputs!$M$80*Inputs!$M$75*Inputs!$K$126,W78*Inputs!$M$75*W93*Inputs!$J$123)*$I$13</f>
        <v>1840070.9419940112</v>
      </c>
      <c r="X105" s="138">
        <f>IF(Inputs!$K$126&gt;0,X71*Inputs!$M$82/Inputs!$M$80*Inputs!$M$75*Inputs!$K$126,X78*Inputs!$M$75*X93*Inputs!$J$123)*$I$13</f>
        <v>1840070.9419940112</v>
      </c>
      <c r="Y105" s="138">
        <f>IF(Inputs!$K$126&gt;0,Y71*Inputs!$M$82/Inputs!$M$80*Inputs!$M$75*Inputs!$K$126,Y78*Inputs!$M$75*Y93*Inputs!$J$123)*$I$13</f>
        <v>1840070.9419940112</v>
      </c>
      <c r="Z105" s="138">
        <f>IF(Inputs!$K$126&gt;0,Z71*Inputs!$M$82/Inputs!$M$80*Inputs!$M$75*Inputs!$K$126,Z78*Inputs!$M$75*Z93*Inputs!$J$123)*$I$13</f>
        <v>1840070.9419940112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0.12060156960907718</v>
      </c>
      <c r="P114" s="56">
        <f>Inputs!P64*$I$9</f>
        <v>0.12975446740681826</v>
      </c>
      <c r="Q114" s="56">
        <f>Inputs!Q64*$I$9</f>
        <v>0.13969553288221162</v>
      </c>
      <c r="R114" s="56">
        <f>Inputs!R64*$I$9</f>
        <v>0.15049648967668242</v>
      </c>
      <c r="S114" s="56">
        <f>Inputs!S64*$I$9</f>
        <v>0.1622358078722938</v>
      </c>
      <c r="T114" s="56">
        <f>Inputs!T64*$I$9</f>
        <v>0.17499935188045795</v>
      </c>
      <c r="U114" s="56">
        <f>Inputs!U64*$I$9</f>
        <v>0.18888109139380116</v>
      </c>
      <c r="V114" s="56">
        <f>Inputs!V64*$I$9</f>
        <v>0.20398388159434314</v>
      </c>
      <c r="W114" s="56">
        <f>Inputs!W64*$I$9</f>
        <v>0.22042031942295803</v>
      </c>
      <c r="X114" s="56">
        <f>Inputs!X64*$I$9</f>
        <v>0.23831368338755582</v>
      </c>
      <c r="Y114" s="56">
        <f>Inputs!Y64*$I$9</f>
        <v>0.25779896512662415</v>
      </c>
      <c r="Z114" s="56">
        <f>Inputs!Z64*$I$9</f>
        <v>0.27902400175728548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1.5075196201134648E-3</v>
      </c>
      <c r="P115" s="56">
        <f>Inputs!P65*$I$9</f>
        <v>1.6219308425852272E-3</v>
      </c>
      <c r="Q115" s="56">
        <f>Inputs!Q65*$I$9</f>
        <v>1.7461941610276458E-3</v>
      </c>
      <c r="R115" s="56">
        <f>Inputs!R65*$I$9</f>
        <v>1.8812061209585302E-3</v>
      </c>
      <c r="S115" s="56">
        <f>Inputs!S65*$I$9</f>
        <v>2.027947598403673E-3</v>
      </c>
      <c r="T115" s="56">
        <f>Inputs!T65*$I$9</f>
        <v>2.1874918985057231E-3</v>
      </c>
      <c r="U115" s="56">
        <f>Inputs!U65*$I$9</f>
        <v>2.361013642422514E-3</v>
      </c>
      <c r="V115" s="56">
        <f>Inputs!V65*$I$9</f>
        <v>2.5497985199292895E-3</v>
      </c>
      <c r="W115" s="56">
        <f>Inputs!W65*$I$9</f>
        <v>2.7552539927869742E-3</v>
      </c>
      <c r="X115" s="56">
        <f>Inputs!X65*$I$9</f>
        <v>2.9789210423444477E-3</v>
      </c>
      <c r="Y115" s="56">
        <f>Inputs!Y65*$I$9</f>
        <v>3.2224870640828016E-3</v>
      </c>
      <c r="Z115" s="56">
        <f>Inputs!Z65*$I$9</f>
        <v>3.4878000219660675E-3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100969.69811289471</v>
      </c>
      <c r="P119" s="70">
        <f t="shared" ref="P119:Z119" si="17">P103*P114*$T$37</f>
        <v>107864.80157711759</v>
      </c>
      <c r="Q119" s="70">
        <f t="shared" si="17"/>
        <v>118090.48716317683</v>
      </c>
      <c r="R119" s="70">
        <f t="shared" si="17"/>
        <v>131834.39310073294</v>
      </c>
      <c r="S119" s="70">
        <f t="shared" si="17"/>
        <v>143616.61523076301</v>
      </c>
      <c r="T119" s="70">
        <f t="shared" si="17"/>
        <v>157279.69142485203</v>
      </c>
      <c r="U119" s="70">
        <f t="shared" si="17"/>
        <v>173777.30388292432</v>
      </c>
      <c r="V119" s="70">
        <f t="shared" si="17"/>
        <v>187672.40657844889</v>
      </c>
      <c r="W119" s="70">
        <f t="shared" si="17"/>
        <v>202794.5123976116</v>
      </c>
      <c r="X119" s="70">
        <f t="shared" si="17"/>
        <v>219257.04194050119</v>
      </c>
      <c r="Y119" s="70">
        <f t="shared" si="17"/>
        <v>237184.19230281428</v>
      </c>
      <c r="Z119" s="70">
        <f t="shared" si="17"/>
        <v>256711.97887623345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2524.2424528223678</v>
      </c>
      <c r="P120" s="138">
        <f t="shared" ref="P120:Z120" si="20">P105*P115*$T$27</f>
        <v>2696.6200394279381</v>
      </c>
      <c r="Q120" s="138">
        <f t="shared" si="20"/>
        <v>2952.2621790794219</v>
      </c>
      <c r="R120" s="138">
        <f t="shared" si="20"/>
        <v>3295.8598275183231</v>
      </c>
      <c r="S120" s="138">
        <f t="shared" si="20"/>
        <v>3590.4153807690759</v>
      </c>
      <c r="T120" s="138">
        <f t="shared" si="20"/>
        <v>3931.9922856212988</v>
      </c>
      <c r="U120" s="138">
        <f t="shared" si="20"/>
        <v>4344.432597073107</v>
      </c>
      <c r="V120" s="138">
        <f t="shared" si="20"/>
        <v>4691.8101644612234</v>
      </c>
      <c r="W120" s="138">
        <f t="shared" si="20"/>
        <v>5069.8628099402877</v>
      </c>
      <c r="X120" s="138">
        <f t="shared" si="20"/>
        <v>5481.4260485125296</v>
      </c>
      <c r="Y120" s="138">
        <f t="shared" si="20"/>
        <v>5929.6048075703566</v>
      </c>
      <c r="Z120" s="138">
        <f t="shared" si="20"/>
        <v>6417.7994719058352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18224.776981378742</v>
      </c>
      <c r="P124" s="70">
        <f t="shared" si="21"/>
        <v>19607.922504591141</v>
      </c>
      <c r="Q124" s="70">
        <f t="shared" si="21"/>
        <v>21110.17244904536</v>
      </c>
      <c r="R124" s="70">
        <f t="shared" si="21"/>
        <v>22742.365374915225</v>
      </c>
      <c r="S124" s="70">
        <f t="shared" si="21"/>
        <v>24516.359334711549</v>
      </c>
      <c r="T124" s="70">
        <f t="shared" si="21"/>
        <v>26445.129779365005</v>
      </c>
      <c r="U124" s="70">
        <f t="shared" si="21"/>
        <v>28542.876994134516</v>
      </c>
      <c r="V124" s="70">
        <f t="shared" si="21"/>
        <v>30825.144000224238</v>
      </c>
      <c r="W124" s="70">
        <f t="shared" si="21"/>
        <v>33308.94595044577</v>
      </c>
      <c r="X124" s="70">
        <f t="shared" si="21"/>
        <v>36012.912148883115</v>
      </c>
      <c r="Y124" s="70">
        <f t="shared" si="21"/>
        <v>38957.441936222836</v>
      </c>
      <c r="Z124" s="70">
        <f t="shared" si="21"/>
        <v>42164.875805195319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518.1401604786862</v>
      </c>
      <c r="P125" s="70">
        <f t="shared" si="22"/>
        <v>557.46372773522364</v>
      </c>
      <c r="Q125" s="70">
        <f t="shared" si="22"/>
        <v>600.17349741273063</v>
      </c>
      <c r="R125" s="70">
        <f t="shared" si="22"/>
        <v>646.57761557595904</v>
      </c>
      <c r="S125" s="70">
        <f t="shared" si="22"/>
        <v>697.01321300226857</v>
      </c>
      <c r="T125" s="70">
        <f t="shared" si="22"/>
        <v>751.84918870394074</v>
      </c>
      <c r="U125" s="70">
        <f t="shared" si="22"/>
        <v>811.48926438854141</v>
      </c>
      <c r="V125" s="70">
        <f t="shared" si="22"/>
        <v>876.3753364649682</v>
      </c>
      <c r="W125" s="70">
        <f t="shared" si="22"/>
        <v>946.9911548313604</v>
      </c>
      <c r="X125" s="70">
        <f t="shared" si="22"/>
        <v>1023.8663605701627</v>
      </c>
      <c r="Y125" s="70">
        <f t="shared" si="22"/>
        <v>1107.5809178514585</v>
      </c>
      <c r="Z125" s="70">
        <f t="shared" si="22"/>
        <v>1198.7699788365244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6277.2782230088505</v>
      </c>
      <c r="P127" s="70">
        <f>Inputs!$J$27*$I$11</f>
        <v>6277.2782230088505</v>
      </c>
      <c r="Q127" s="70">
        <f>Inputs!$J$27*$I$11</f>
        <v>6277.2782230088505</v>
      </c>
      <c r="R127" s="70">
        <f>Inputs!$J$27*$I$11</f>
        <v>6277.2782230088505</v>
      </c>
      <c r="S127" s="70">
        <f>Inputs!$J$27*$I$11</f>
        <v>6277.2782230088505</v>
      </c>
      <c r="T127" s="70">
        <f>Inputs!$J$27*$I$11</f>
        <v>6277.2782230088505</v>
      </c>
      <c r="U127" s="70">
        <f>Inputs!$J$27*$I$11</f>
        <v>6277.2782230088505</v>
      </c>
      <c r="V127" s="70">
        <f>Inputs!$J$27*$I$11</f>
        <v>6277.2782230088505</v>
      </c>
      <c r="W127" s="70">
        <f>Inputs!$J$27*$I$11</f>
        <v>6277.2782230088505</v>
      </c>
      <c r="X127" s="70">
        <f>Inputs!$J$27*$I$11</f>
        <v>6277.2782230088505</v>
      </c>
      <c r="Y127" s="70">
        <f>Inputs!$J$27*$I$11</f>
        <v>6277.2782230088505</v>
      </c>
      <c r="Z127" s="70">
        <f>Inputs!$J$27*$I$11</f>
        <v>6277.2782230088505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128514.13593058335</v>
      </c>
      <c r="P128" s="98">
        <f t="shared" ref="P128:Z128" si="24">SUM(P119:P127)</f>
        <v>137004.08607188077</v>
      </c>
      <c r="Q128" s="98">
        <f t="shared" si="24"/>
        <v>149030.37351172318</v>
      </c>
      <c r="R128" s="98">
        <f t="shared" si="24"/>
        <v>164796.47414175127</v>
      </c>
      <c r="S128" s="98">
        <f t="shared" si="24"/>
        <v>178697.68138225476</v>
      </c>
      <c r="T128" s="98">
        <f t="shared" si="24"/>
        <v>194685.9409015511</v>
      </c>
      <c r="U128" s="98">
        <f t="shared" si="24"/>
        <v>213753.38096152933</v>
      </c>
      <c r="V128" s="98">
        <f t="shared" si="24"/>
        <v>230343.01430260818</v>
      </c>
      <c r="W128" s="98">
        <f t="shared" si="24"/>
        <v>248397.5905358379</v>
      </c>
      <c r="X128" s="98">
        <f t="shared" si="24"/>
        <v>268052.5247214759</v>
      </c>
      <c r="Y128" s="98">
        <f t="shared" si="24"/>
        <v>289456.09818746778</v>
      </c>
      <c r="Z128" s="98">
        <f t="shared" si="24"/>
        <v>312770.70235517999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0</v>
      </c>
      <c r="S135" s="70">
        <f>Inputs!S22*'Scenario C'!$I$10</f>
        <v>1282356.6371681415</v>
      </c>
      <c r="T135" s="70">
        <f>Inputs!T22*'Scenario C'!$I$10</f>
        <v>0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71606.760636242645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5257.0922761061956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76863.852912348841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128514.13593058335</v>
      </c>
      <c r="P147" s="70">
        <f t="shared" ref="P147:Z147" si="27">P128</f>
        <v>137004.08607188077</v>
      </c>
      <c r="Q147" s="70">
        <f t="shared" si="27"/>
        <v>149030.37351172318</v>
      </c>
      <c r="R147" s="70">
        <f t="shared" si="27"/>
        <v>164796.47414175127</v>
      </c>
      <c r="S147" s="70">
        <f t="shared" si="27"/>
        <v>178697.68138225476</v>
      </c>
      <c r="T147" s="70">
        <f t="shared" si="27"/>
        <v>194685.9409015511</v>
      </c>
      <c r="U147" s="70">
        <f t="shared" si="27"/>
        <v>213753.38096152933</v>
      </c>
      <c r="V147" s="70">
        <f t="shared" si="27"/>
        <v>230343.01430260818</v>
      </c>
      <c r="W147" s="70">
        <f t="shared" si="27"/>
        <v>248397.5905358379</v>
      </c>
      <c r="X147" s="70">
        <f t="shared" si="27"/>
        <v>268052.5247214759</v>
      </c>
      <c r="Y147" s="70">
        <f t="shared" si="27"/>
        <v>289456.09818746778</v>
      </c>
      <c r="Z147" s="70">
        <f t="shared" si="27"/>
        <v>312770.70235517999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76863.852912348841</v>
      </c>
      <c r="P148" s="70">
        <f t="shared" ref="P148:Z148" si="28">$J$140</f>
        <v>76863.852912348841</v>
      </c>
      <c r="Q148" s="70">
        <f t="shared" si="28"/>
        <v>76863.852912348841</v>
      </c>
      <c r="R148" s="70">
        <f t="shared" si="28"/>
        <v>76863.852912348841</v>
      </c>
      <c r="S148" s="70">
        <f t="shared" si="28"/>
        <v>76863.852912348841</v>
      </c>
      <c r="T148" s="70">
        <f t="shared" si="28"/>
        <v>76863.852912348841</v>
      </c>
      <c r="U148" s="70">
        <f t="shared" si="28"/>
        <v>76863.852912348841</v>
      </c>
      <c r="V148" s="70">
        <f t="shared" si="28"/>
        <v>76863.852912348841</v>
      </c>
      <c r="W148" s="70">
        <f t="shared" si="28"/>
        <v>76863.852912348841</v>
      </c>
      <c r="X148" s="70">
        <f t="shared" si="28"/>
        <v>76863.852912348841</v>
      </c>
      <c r="Y148" s="70">
        <f t="shared" si="28"/>
        <v>76863.852912348841</v>
      </c>
      <c r="Z148" s="70">
        <f t="shared" si="28"/>
        <v>76863.852912348841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J18 TK Circuit Breaker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150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151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71</v>
      </c>
      <c r="J16" s="58" t="s">
        <v>152</v>
      </c>
      <c r="K16" s="58" t="s">
        <v>153</v>
      </c>
      <c r="L16" s="58"/>
      <c r="M16" s="58"/>
      <c r="N16" s="59"/>
      <c r="O16" s="57" t="s">
        <v>154</v>
      </c>
      <c r="P16" s="58" t="s">
        <v>155</v>
      </c>
      <c r="Q16" s="58" t="s">
        <v>156</v>
      </c>
      <c r="R16" s="58" t="s">
        <v>157</v>
      </c>
      <c r="S16" s="58" t="s">
        <v>25</v>
      </c>
      <c r="T16" s="60" t="s">
        <v>158</v>
      </c>
      <c r="U16" s="57" t="s">
        <v>159</v>
      </c>
      <c r="V16" s="61" t="s">
        <v>160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1674434.2290101526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1674434.2290101526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14850.523787131588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14850.523787131588</v>
      </c>
      <c r="V28" s="75">
        <f t="shared" si="1"/>
        <v>14850.523787131588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0</v>
      </c>
      <c r="R29" s="71">
        <v>0</v>
      </c>
      <c r="S29" s="72">
        <v>0</v>
      </c>
      <c r="T29" s="73">
        <f>'Base Case'!$T29</f>
        <v>1</v>
      </c>
      <c r="U29" s="74">
        <f t="shared" si="0"/>
        <v>0</v>
      </c>
      <c r="V29" s="75">
        <f t="shared" si="1"/>
        <v>0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'Base Case'!$R30*$I$10</f>
        <v>209840.17699115045</v>
      </c>
      <c r="S30" s="72">
        <v>0</v>
      </c>
      <c r="T30" s="73">
        <f>'Base Case'!$T30</f>
        <v>1</v>
      </c>
      <c r="U30" s="74">
        <f t="shared" si="0"/>
        <v>209840.17699115045</v>
      </c>
      <c r="V30" s="75">
        <f t="shared" si="1"/>
        <v>209840.17699115045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Inputs!$K$107*$I$14</f>
        <v>15388.279646017701</v>
      </c>
      <c r="T31" s="73">
        <f>'Base Case'!$T31</f>
        <v>1</v>
      </c>
      <c r="U31" s="74">
        <f t="shared" si="0"/>
        <v>15388.279646017701</v>
      </c>
      <c r="V31" s="75">
        <f t="shared" si="1"/>
        <v>15388.279646017701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837217.11450507632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837217.11450507632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4243.0067963233114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4243.0067963233114</v>
      </c>
      <c r="V38" s="75">
        <f t="shared" si="1"/>
        <v>4243.0067963233114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'Base Case'!$R40*$I$10</f>
        <v>69946.725663716803</v>
      </c>
      <c r="S40" s="72">
        <v>0</v>
      </c>
      <c r="T40" s="73">
        <f>'Base Case'!$T40</f>
        <v>1</v>
      </c>
      <c r="U40" s="74">
        <f t="shared" si="0"/>
        <v>69946.725663716803</v>
      </c>
      <c r="V40" s="75">
        <f t="shared" si="1"/>
        <v>69946.725663716803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Inputs!$J$107*$I$14</f>
        <v>4388.5093805309734</v>
      </c>
      <c r="T41" s="73">
        <f>'Base Case'!$T41</f>
        <v>1</v>
      </c>
      <c r="U41" s="74">
        <f t="shared" si="0"/>
        <v>4388.5093805309734</v>
      </c>
      <c r="V41" s="75">
        <f t="shared" si="1"/>
        <v>4388.5093805309734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837217.11450507632</v>
      </c>
      <c r="P49" s="70">
        <f t="shared" ref="P49:V49" si="2">SUMIF($I$17:$I$46,$I49,P$17:P$46)</f>
        <v>4243.0067963233114</v>
      </c>
      <c r="Q49" s="70">
        <f t="shared" si="2"/>
        <v>46631.150442477883</v>
      </c>
      <c r="R49" s="70">
        <f t="shared" si="2"/>
        <v>69946.725663716803</v>
      </c>
      <c r="S49" s="70">
        <f t="shared" si="2"/>
        <v>4388.5093805309734</v>
      </c>
      <c r="T49" s="56">
        <f>U49/SUM(O49:S49)</f>
        <v>1.0000000000000002</v>
      </c>
      <c r="U49" s="70">
        <f t="shared" si="2"/>
        <v>962426.50678812538</v>
      </c>
      <c r="V49" s="70">
        <f t="shared" si="2"/>
        <v>125209.39228304898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1674434.2290101526</v>
      </c>
      <c r="P50" s="70">
        <f t="shared" si="3"/>
        <v>14850.523787131588</v>
      </c>
      <c r="Q50" s="70">
        <f t="shared" si="3"/>
        <v>46631.150442477883</v>
      </c>
      <c r="R50" s="70">
        <f t="shared" si="3"/>
        <v>209840.17699115045</v>
      </c>
      <c r="S50" s="70">
        <f t="shared" si="3"/>
        <v>15388.279646017701</v>
      </c>
      <c r="T50" s="56">
        <f t="shared" ref="T50:T51" si="4">U50/SUM(O50:S50)</f>
        <v>1</v>
      </c>
      <c r="U50" s="70">
        <f t="shared" si="3"/>
        <v>1961144.35987693</v>
      </c>
      <c r="V50" s="70">
        <f t="shared" si="3"/>
        <v>286710.13086677762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2923570.8666650555</v>
      </c>
      <c r="V52" s="88">
        <f>SUM(V49:V51)</f>
        <v>411919.52314982656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52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53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54</v>
      </c>
      <c r="D59" s="51"/>
      <c r="E59" s="51"/>
      <c r="F59" s="51"/>
      <c r="G59" s="51"/>
      <c r="H59" s="51"/>
      <c r="I59" s="51"/>
      <c r="J59" s="70">
        <f>Inputs!J80</f>
        <v>87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55</v>
      </c>
      <c r="E60" s="51"/>
      <c r="F60" s="51"/>
      <c r="G60" s="51"/>
      <c r="H60" s="51"/>
      <c r="I60" s="51"/>
      <c r="J60" s="70">
        <f>Inputs!J81</f>
        <v>52.9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56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57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58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59</v>
      </c>
      <c r="E64" s="87"/>
      <c r="F64" s="87"/>
      <c r="G64" s="87"/>
      <c r="H64" s="87"/>
      <c r="I64" s="87"/>
      <c r="J64" s="70">
        <f>Inputs!J85</f>
        <v>0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52.075800000000001</v>
      </c>
      <c r="P69" s="70">
        <f>Inputs!P185*$I$12</f>
        <v>51.154950000000007</v>
      </c>
      <c r="Q69" s="70">
        <f>Inputs!Q185*$I$12</f>
        <v>52.381350000000005</v>
      </c>
      <c r="R69" s="70">
        <f>Inputs!R185*$I$12</f>
        <v>54.789000000000001</v>
      </c>
      <c r="S69" s="70">
        <f>Inputs!S185*$I$12</f>
        <v>54.901350000000001</v>
      </c>
      <c r="T69" s="70">
        <f>Inputs!T185*$I$12</f>
        <v>55.924050000000008</v>
      </c>
      <c r="U69" s="70">
        <f>Inputs!U185*$I$12</f>
        <v>57.976800000000004</v>
      </c>
      <c r="V69" s="70">
        <f>Inputs!V185*$I$12</f>
        <v>57.976800000000004</v>
      </c>
      <c r="W69" s="70">
        <f>Inputs!W185*$I$12</f>
        <v>57.976800000000004</v>
      </c>
      <c r="X69" s="70">
        <f>Inputs!X185*$I$12</f>
        <v>57.976800000000004</v>
      </c>
      <c r="Y69" s="70">
        <f>Inputs!Y185*$I$12</f>
        <v>57.976800000000004</v>
      </c>
      <c r="Z69" s="70">
        <f>Inputs!Z185*$I$12</f>
        <v>57.976800000000004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47.329800000000006</v>
      </c>
      <c r="P70" s="70">
        <f>Inputs!P186*$I$12</f>
        <v>47.232149999999997</v>
      </c>
      <c r="Q70" s="70">
        <f>Inputs!Q186*$I$12</f>
        <v>47.874749999999999</v>
      </c>
      <c r="R70" s="70">
        <f>Inputs!R186*$I$12</f>
        <v>49.393049999999995</v>
      </c>
      <c r="S70" s="70">
        <f>Inputs!S186*$I$12</f>
        <v>50.113349999999997</v>
      </c>
      <c r="T70" s="70">
        <f>Inputs!T186*$I$12</f>
        <v>50.799000000000007</v>
      </c>
      <c r="U70" s="70">
        <f>Inputs!U186*$I$12</f>
        <v>51.690449999999998</v>
      </c>
      <c r="V70" s="70">
        <f>Inputs!V186*$I$12</f>
        <v>51.690449999999998</v>
      </c>
      <c r="W70" s="70">
        <f>Inputs!W186*$I$12</f>
        <v>51.690449999999998</v>
      </c>
      <c r="X70" s="70">
        <f>Inputs!X186*$I$12</f>
        <v>51.690449999999998</v>
      </c>
      <c r="Y70" s="70">
        <f>Inputs!Y186*$I$12</f>
        <v>51.690449999999998</v>
      </c>
      <c r="Z70" s="70">
        <f>Inputs!Z186*$I$12</f>
        <v>51.690449999999998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48.753600000000006</v>
      </c>
      <c r="P71" s="70">
        <f>Inputs!P187*$I$12</f>
        <v>48.408990000000003</v>
      </c>
      <c r="Q71" s="70">
        <f>Inputs!Q187*$I$12</f>
        <v>49.226729999999996</v>
      </c>
      <c r="R71" s="70">
        <f>Inputs!R187*$I$12</f>
        <v>51.011835000000005</v>
      </c>
      <c r="S71" s="70">
        <f>Inputs!S187*$I$12</f>
        <v>51.549750000000003</v>
      </c>
      <c r="T71" s="70">
        <f>Inputs!T187*$I$12</f>
        <v>52.336515000000006</v>
      </c>
      <c r="U71" s="70">
        <f>Inputs!U187*$I$12</f>
        <v>53.576355</v>
      </c>
      <c r="V71" s="70">
        <f>Inputs!V187*$I$12</f>
        <v>53.576355</v>
      </c>
      <c r="W71" s="70">
        <f>Inputs!W187*$I$12</f>
        <v>53.576355</v>
      </c>
      <c r="X71" s="70">
        <f>Inputs!X187*$I$12</f>
        <v>53.576355</v>
      </c>
      <c r="Y71" s="70">
        <f>Inputs!Y187*$I$12</f>
        <v>53.576355</v>
      </c>
      <c r="Z71" s="70">
        <f>Inputs!Z187*$I$12</f>
        <v>53.576355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143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144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0.67635500000000093</v>
      </c>
      <c r="V77" s="70">
        <f t="shared" si="5"/>
        <v>0.67635500000000093</v>
      </c>
      <c r="W77" s="70">
        <f t="shared" si="5"/>
        <v>0.67635500000000093</v>
      </c>
      <c r="X77" s="70">
        <f t="shared" si="5"/>
        <v>0.67635500000000093</v>
      </c>
      <c r="Y77" s="70">
        <f t="shared" si="5"/>
        <v>0.67635500000000093</v>
      </c>
      <c r="Z77" s="70">
        <f t="shared" si="5"/>
        <v>0.67635500000000093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48.753600000000006</v>
      </c>
      <c r="P78" s="70">
        <f t="shared" si="5"/>
        <v>48.408990000000003</v>
      </c>
      <c r="Q78" s="70">
        <f t="shared" si="5"/>
        <v>49.226729999999996</v>
      </c>
      <c r="R78" s="70">
        <f t="shared" si="5"/>
        <v>51.011835000000005</v>
      </c>
      <c r="S78" s="70">
        <f t="shared" si="5"/>
        <v>51.549750000000003</v>
      </c>
      <c r="T78" s="70">
        <f t="shared" si="5"/>
        <v>52.336515000000006</v>
      </c>
      <c r="U78" s="70">
        <f t="shared" si="5"/>
        <v>53.576355</v>
      </c>
      <c r="V78" s="70">
        <f t="shared" si="5"/>
        <v>53.576355</v>
      </c>
      <c r="W78" s="70">
        <f t="shared" si="5"/>
        <v>53.576355</v>
      </c>
      <c r="X78" s="70">
        <f t="shared" si="5"/>
        <v>53.576355</v>
      </c>
      <c r="Y78" s="70">
        <f t="shared" si="5"/>
        <v>53.576355</v>
      </c>
      <c r="Z78" s="70">
        <f t="shared" si="5"/>
        <v>53.576355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146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48.753600000000006</v>
      </c>
      <c r="P79" s="70">
        <f t="shared" si="5"/>
        <v>48.408990000000003</v>
      </c>
      <c r="Q79" s="70">
        <f t="shared" si="5"/>
        <v>49.226729999999996</v>
      </c>
      <c r="R79" s="70">
        <f t="shared" si="5"/>
        <v>51.011835000000005</v>
      </c>
      <c r="S79" s="70">
        <f t="shared" si="5"/>
        <v>51.549750000000003</v>
      </c>
      <c r="T79" s="70">
        <f t="shared" si="5"/>
        <v>52.336515000000006</v>
      </c>
      <c r="U79" s="70">
        <f t="shared" si="5"/>
        <v>53.576355</v>
      </c>
      <c r="V79" s="70">
        <f t="shared" si="5"/>
        <v>53.576355</v>
      </c>
      <c r="W79" s="70">
        <f t="shared" si="5"/>
        <v>53.576355</v>
      </c>
      <c r="X79" s="70">
        <f t="shared" si="5"/>
        <v>53.576355</v>
      </c>
      <c r="Y79" s="70">
        <f t="shared" si="5"/>
        <v>53.576355</v>
      </c>
      <c r="Z79" s="70">
        <f t="shared" si="5"/>
        <v>53.576355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48.753600000000006</v>
      </c>
      <c r="P80" s="70">
        <f t="shared" si="5"/>
        <v>48.408990000000003</v>
      </c>
      <c r="Q80" s="70">
        <f t="shared" si="5"/>
        <v>49.226729999999996</v>
      </c>
      <c r="R80" s="70">
        <f t="shared" si="5"/>
        <v>51.011835000000005</v>
      </c>
      <c r="S80" s="70">
        <f t="shared" si="5"/>
        <v>51.549750000000003</v>
      </c>
      <c r="T80" s="70">
        <f t="shared" si="5"/>
        <v>52.336515000000006</v>
      </c>
      <c r="U80" s="70">
        <f t="shared" si="5"/>
        <v>53.576355</v>
      </c>
      <c r="V80" s="70">
        <f t="shared" si="5"/>
        <v>53.576355</v>
      </c>
      <c r="W80" s="70">
        <f t="shared" si="5"/>
        <v>53.576355</v>
      </c>
      <c r="X80" s="70">
        <f t="shared" si="5"/>
        <v>53.576355</v>
      </c>
      <c r="Y80" s="70">
        <f t="shared" si="5"/>
        <v>53.576355</v>
      </c>
      <c r="Z80" s="70">
        <f t="shared" si="5"/>
        <v>53.576355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166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167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168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169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167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2</v>
      </c>
      <c r="V88" s="70">
        <f>ROUNDUP(ROUNDUP(V77/Inputs!$J$114,0)/(Inputs!$J$118*Inputs!$J$115*Inputs!$J$114),0)+1</f>
        <v>2</v>
      </c>
      <c r="W88" s="70">
        <f>ROUNDUP(ROUNDUP(W77/Inputs!$J$114,0)/(Inputs!$J$118*Inputs!$J$115*Inputs!$J$114),0)+1</f>
        <v>2</v>
      </c>
      <c r="X88" s="70">
        <f>ROUNDUP(ROUNDUP(X77/Inputs!$J$114,0)/(Inputs!$J$118*Inputs!$J$115*Inputs!$J$114),0)+1</f>
        <v>2</v>
      </c>
      <c r="Y88" s="70">
        <f>ROUNDUP(ROUNDUP(Y77/Inputs!$J$114,0)/(Inputs!$J$118*Inputs!$J$115*Inputs!$J$114),0)+1</f>
        <v>2</v>
      </c>
      <c r="Z88" s="70">
        <f>ROUNDUP(ROUNDUP(Z77/Inputs!$J$114,0)/(Inputs!$J$118*Inputs!$J$115*Inputs!$J$114),0)+1</f>
        <v>2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2</v>
      </c>
      <c r="V90" s="93">
        <f t="shared" si="10"/>
        <v>2</v>
      </c>
      <c r="W90" s="93">
        <f t="shared" si="10"/>
        <v>2</v>
      </c>
      <c r="X90" s="93">
        <f t="shared" si="10"/>
        <v>2</v>
      </c>
      <c r="Y90" s="93">
        <f t="shared" si="10"/>
        <v>2</v>
      </c>
      <c r="Z90" s="93">
        <f t="shared" si="10"/>
        <v>2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6</v>
      </c>
      <c r="P91" s="70">
        <f>ROUNDUP(ROUNDUP(P78/Inputs!$J$114,0)/(Inputs!$J$118*Inputs!$J$115*Inputs!$J$114),0)+1</f>
        <v>6</v>
      </c>
      <c r="Q91" s="70">
        <f>ROUNDUP(ROUNDUP(Q78/Inputs!$J$114,0)/(Inputs!$J$118*Inputs!$J$115*Inputs!$J$114),0)+1</f>
        <v>6</v>
      </c>
      <c r="R91" s="70">
        <f>ROUNDUP(ROUNDUP(R78/Inputs!$J$114,0)/(Inputs!$J$118*Inputs!$J$115*Inputs!$J$114),0)+1</f>
        <v>6</v>
      </c>
      <c r="S91" s="70">
        <f>ROUNDUP(ROUNDUP(S78/Inputs!$J$114,0)/(Inputs!$J$118*Inputs!$J$115*Inputs!$J$114),0)+1</f>
        <v>6</v>
      </c>
      <c r="T91" s="70">
        <f>ROUNDUP(ROUNDUP(T78/Inputs!$J$114,0)/(Inputs!$J$118*Inputs!$J$115*Inputs!$J$114),0)+1</f>
        <v>6</v>
      </c>
      <c r="U91" s="70">
        <f>ROUNDUP(ROUNDUP(U78/Inputs!$J$114,0)/(Inputs!$J$118*Inputs!$J$115*Inputs!$J$114),0)+1</f>
        <v>6</v>
      </c>
      <c r="V91" s="70">
        <f>ROUNDUP(ROUNDUP(V78/Inputs!$J$114,0)/(Inputs!$J$118*Inputs!$J$115*Inputs!$J$114),0)+1</f>
        <v>6</v>
      </c>
      <c r="W91" s="70">
        <f>ROUNDUP(ROUNDUP(W78/Inputs!$J$114,0)/(Inputs!$J$118*Inputs!$J$115*Inputs!$J$114),0)+1</f>
        <v>6</v>
      </c>
      <c r="X91" s="70">
        <f>ROUNDUP(ROUNDUP(X78/Inputs!$J$114,0)/(Inputs!$J$118*Inputs!$J$115*Inputs!$J$114),0)+1</f>
        <v>6</v>
      </c>
      <c r="Y91" s="70">
        <f>ROUNDUP(ROUNDUP(Y78/Inputs!$J$114,0)/(Inputs!$J$118*Inputs!$J$115*Inputs!$J$114),0)+1</f>
        <v>6</v>
      </c>
      <c r="Z91" s="70">
        <f>ROUNDUP(ROUNDUP(Z78/Inputs!$J$114,0)/(Inputs!$J$118*Inputs!$J$115*Inputs!$J$114),0)+1</f>
        <v>6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2</v>
      </c>
      <c r="P92" s="70">
        <f t="shared" ref="P92:Z92" si="11">MAX(0,((P91-1)-1)/2)</f>
        <v>2</v>
      </c>
      <c r="Q92" s="70">
        <f t="shared" si="11"/>
        <v>2</v>
      </c>
      <c r="R92" s="70">
        <f t="shared" si="11"/>
        <v>2</v>
      </c>
      <c r="S92" s="70">
        <f t="shared" si="11"/>
        <v>2</v>
      </c>
      <c r="T92" s="70">
        <f t="shared" si="11"/>
        <v>2</v>
      </c>
      <c r="U92" s="70">
        <f t="shared" si="11"/>
        <v>2</v>
      </c>
      <c r="V92" s="70">
        <f t="shared" si="11"/>
        <v>2</v>
      </c>
      <c r="W92" s="70">
        <f t="shared" si="11"/>
        <v>2</v>
      </c>
      <c r="X92" s="70">
        <f t="shared" si="11"/>
        <v>2</v>
      </c>
      <c r="Y92" s="70">
        <f t="shared" si="11"/>
        <v>2</v>
      </c>
      <c r="Z92" s="70">
        <f t="shared" si="11"/>
        <v>2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4</v>
      </c>
      <c r="P93" s="93">
        <f t="shared" ref="P93:Z93" si="12">IFERROR((P91-P92)/P91,0)*MAX(0,P91)</f>
        <v>4</v>
      </c>
      <c r="Q93" s="93">
        <f t="shared" si="12"/>
        <v>4</v>
      </c>
      <c r="R93" s="93">
        <f t="shared" si="12"/>
        <v>4</v>
      </c>
      <c r="S93" s="93">
        <f t="shared" si="12"/>
        <v>4</v>
      </c>
      <c r="T93" s="93">
        <f t="shared" si="12"/>
        <v>4</v>
      </c>
      <c r="U93" s="93">
        <f t="shared" si="12"/>
        <v>4</v>
      </c>
      <c r="V93" s="93">
        <f t="shared" si="12"/>
        <v>4</v>
      </c>
      <c r="W93" s="93">
        <f t="shared" si="12"/>
        <v>4</v>
      </c>
      <c r="X93" s="93">
        <f t="shared" si="12"/>
        <v>4</v>
      </c>
      <c r="Y93" s="93">
        <f t="shared" si="12"/>
        <v>4</v>
      </c>
      <c r="Z93" s="93">
        <f t="shared" si="12"/>
        <v>4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6</v>
      </c>
      <c r="P94" s="70">
        <f>ROUNDUP(ROUNDUP(P79/Inputs!$J$114,0)/(Inputs!$J$118*Inputs!$J$115*Inputs!$J$114),0)+1</f>
        <v>6</v>
      </c>
      <c r="Q94" s="70">
        <f>ROUNDUP(ROUNDUP(Q79/Inputs!$J$114,0)/(Inputs!$J$118*Inputs!$J$115*Inputs!$J$114),0)+1</f>
        <v>6</v>
      </c>
      <c r="R94" s="70">
        <f>ROUNDUP(ROUNDUP(R79/Inputs!$J$114,0)/(Inputs!$J$118*Inputs!$J$115*Inputs!$J$114),0)+1</f>
        <v>6</v>
      </c>
      <c r="S94" s="70">
        <f>ROUNDUP(ROUNDUP(S79/Inputs!$J$114,0)/(Inputs!$J$118*Inputs!$J$115*Inputs!$J$114),0)+1</f>
        <v>6</v>
      </c>
      <c r="T94" s="70">
        <f>ROUNDUP(ROUNDUP(T79/Inputs!$J$114,0)/(Inputs!$J$118*Inputs!$J$115*Inputs!$J$114),0)+1</f>
        <v>6</v>
      </c>
      <c r="U94" s="70">
        <f>ROUNDUP(ROUNDUP(U79/Inputs!$J$114,0)/(Inputs!$J$118*Inputs!$J$115*Inputs!$J$114),0)+1</f>
        <v>6</v>
      </c>
      <c r="V94" s="70">
        <f>ROUNDUP(ROUNDUP(V79/Inputs!$J$114,0)/(Inputs!$J$118*Inputs!$J$115*Inputs!$J$114),0)+1</f>
        <v>6</v>
      </c>
      <c r="W94" s="70">
        <f>ROUNDUP(ROUNDUP(W79/Inputs!$J$114,0)/(Inputs!$J$118*Inputs!$J$115*Inputs!$J$114),0)+1</f>
        <v>6</v>
      </c>
      <c r="X94" s="70">
        <f>ROUNDUP(ROUNDUP(X79/Inputs!$J$114,0)/(Inputs!$J$118*Inputs!$J$115*Inputs!$J$114),0)+1</f>
        <v>6</v>
      </c>
      <c r="Y94" s="70">
        <f>ROUNDUP(ROUNDUP(Y79/Inputs!$J$114,0)/(Inputs!$J$118*Inputs!$J$115*Inputs!$J$114),0)+1</f>
        <v>6</v>
      </c>
      <c r="Z94" s="70">
        <f>ROUNDUP(ROUNDUP(Z79/Inputs!$J$114,0)/(Inputs!$J$118*Inputs!$J$115*Inputs!$J$114),0)+1</f>
        <v>6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2</v>
      </c>
      <c r="P95" s="70">
        <f t="shared" ref="P95:Z95" si="13">MAX(0,((P94-1)-1)/2)</f>
        <v>2</v>
      </c>
      <c r="Q95" s="70">
        <f t="shared" si="13"/>
        <v>2</v>
      </c>
      <c r="R95" s="70">
        <f t="shared" si="13"/>
        <v>2</v>
      </c>
      <c r="S95" s="70">
        <f t="shared" si="13"/>
        <v>2</v>
      </c>
      <c r="T95" s="70">
        <f t="shared" si="13"/>
        <v>2</v>
      </c>
      <c r="U95" s="70">
        <f t="shared" si="13"/>
        <v>2</v>
      </c>
      <c r="V95" s="70">
        <f t="shared" si="13"/>
        <v>2</v>
      </c>
      <c r="W95" s="70">
        <f t="shared" si="13"/>
        <v>2</v>
      </c>
      <c r="X95" s="70">
        <f t="shared" si="13"/>
        <v>2</v>
      </c>
      <c r="Y95" s="70">
        <f t="shared" si="13"/>
        <v>2</v>
      </c>
      <c r="Z95" s="70">
        <f t="shared" si="13"/>
        <v>2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4</v>
      </c>
      <c r="P96" s="93">
        <f t="shared" ref="P96:Z96" si="14">IFERROR((P94-P95)/P94,0)*MAX(0,P94)</f>
        <v>4</v>
      </c>
      <c r="Q96" s="93">
        <f t="shared" si="14"/>
        <v>4</v>
      </c>
      <c r="R96" s="93">
        <f t="shared" si="14"/>
        <v>4</v>
      </c>
      <c r="S96" s="93">
        <f t="shared" si="14"/>
        <v>4</v>
      </c>
      <c r="T96" s="93">
        <f t="shared" si="14"/>
        <v>4</v>
      </c>
      <c r="U96" s="93">
        <f t="shared" si="14"/>
        <v>4</v>
      </c>
      <c r="V96" s="93">
        <f t="shared" si="14"/>
        <v>4</v>
      </c>
      <c r="W96" s="93">
        <f t="shared" si="14"/>
        <v>4</v>
      </c>
      <c r="X96" s="93">
        <f t="shared" si="14"/>
        <v>4</v>
      </c>
      <c r="Y96" s="93">
        <f t="shared" si="14"/>
        <v>4</v>
      </c>
      <c r="Z96" s="93">
        <f t="shared" si="14"/>
        <v>4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6</v>
      </c>
      <c r="P97" s="70">
        <f>ROUNDUP(ROUNDUP(P80/Inputs!$J$114,0)/(Inputs!$J$118*Inputs!$J$115*Inputs!$J$114),0)+1</f>
        <v>6</v>
      </c>
      <c r="Q97" s="70">
        <f>ROUNDUP(ROUNDUP(Q80/Inputs!$J$114,0)/(Inputs!$J$118*Inputs!$J$115*Inputs!$J$114),0)+1</f>
        <v>6</v>
      </c>
      <c r="R97" s="70">
        <f>ROUNDUP(ROUNDUP(R80/Inputs!$J$114,0)/(Inputs!$J$118*Inputs!$J$115*Inputs!$J$114),0)+1</f>
        <v>6</v>
      </c>
      <c r="S97" s="70">
        <f>ROUNDUP(ROUNDUP(S80/Inputs!$J$114,0)/(Inputs!$J$118*Inputs!$J$115*Inputs!$J$114),0)+1</f>
        <v>6</v>
      </c>
      <c r="T97" s="70">
        <f>ROUNDUP(ROUNDUP(T80/Inputs!$J$114,0)/(Inputs!$J$118*Inputs!$J$115*Inputs!$J$114),0)+1</f>
        <v>6</v>
      </c>
      <c r="U97" s="70">
        <f>ROUNDUP(ROUNDUP(U80/Inputs!$J$114,0)/(Inputs!$J$118*Inputs!$J$115*Inputs!$J$114),0)+1</f>
        <v>6</v>
      </c>
      <c r="V97" s="70">
        <f>ROUNDUP(ROUNDUP(V80/Inputs!$J$114,0)/(Inputs!$J$118*Inputs!$J$115*Inputs!$J$114),0)+1</f>
        <v>6</v>
      </c>
      <c r="W97" s="70">
        <f>ROUNDUP(ROUNDUP(W80/Inputs!$J$114,0)/(Inputs!$J$118*Inputs!$J$115*Inputs!$J$114),0)+1</f>
        <v>6</v>
      </c>
      <c r="X97" s="70">
        <f>ROUNDUP(ROUNDUP(X80/Inputs!$J$114,0)/(Inputs!$J$118*Inputs!$J$115*Inputs!$J$114),0)+1</f>
        <v>6</v>
      </c>
      <c r="Y97" s="70">
        <f>ROUNDUP(ROUNDUP(Y80/Inputs!$J$114,0)/(Inputs!$J$118*Inputs!$J$115*Inputs!$J$114),0)+1</f>
        <v>6</v>
      </c>
      <c r="Z97" s="70">
        <f>ROUNDUP(ROUNDUP(Z80/Inputs!$J$114,0)/(Inputs!$J$118*Inputs!$J$115*Inputs!$J$114),0)+1</f>
        <v>6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2</v>
      </c>
      <c r="P98" s="70">
        <f t="shared" ref="P98:Z98" si="15">MAX(0,((P97-1)-1)/2)</f>
        <v>2</v>
      </c>
      <c r="Q98" s="70">
        <f t="shared" si="15"/>
        <v>2</v>
      </c>
      <c r="R98" s="70">
        <f t="shared" si="15"/>
        <v>2</v>
      </c>
      <c r="S98" s="70">
        <f t="shared" si="15"/>
        <v>2</v>
      </c>
      <c r="T98" s="70">
        <f t="shared" si="15"/>
        <v>2</v>
      </c>
      <c r="U98" s="70">
        <f t="shared" si="15"/>
        <v>2</v>
      </c>
      <c r="V98" s="70">
        <f t="shared" si="15"/>
        <v>2</v>
      </c>
      <c r="W98" s="70">
        <f t="shared" si="15"/>
        <v>2</v>
      </c>
      <c r="X98" s="70">
        <f t="shared" si="15"/>
        <v>2</v>
      </c>
      <c r="Y98" s="70">
        <f t="shared" si="15"/>
        <v>2</v>
      </c>
      <c r="Z98" s="70">
        <f t="shared" si="15"/>
        <v>2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4</v>
      </c>
      <c r="P99" s="93">
        <f t="shared" ref="P99:Z99" si="16">IFERROR((P97-P98)/P97,0)*MAX(0,P97)</f>
        <v>4</v>
      </c>
      <c r="Q99" s="93">
        <f t="shared" si="16"/>
        <v>4</v>
      </c>
      <c r="R99" s="93">
        <f t="shared" si="16"/>
        <v>4</v>
      </c>
      <c r="S99" s="93">
        <f t="shared" si="16"/>
        <v>4</v>
      </c>
      <c r="T99" s="93">
        <f t="shared" si="16"/>
        <v>4</v>
      </c>
      <c r="U99" s="93">
        <f t="shared" si="16"/>
        <v>4</v>
      </c>
      <c r="V99" s="93">
        <f t="shared" si="16"/>
        <v>4</v>
      </c>
      <c r="W99" s="93">
        <f t="shared" si="16"/>
        <v>4</v>
      </c>
      <c r="X99" s="93">
        <f t="shared" si="16"/>
        <v>4</v>
      </c>
      <c r="Y99" s="93">
        <f t="shared" si="16"/>
        <v>4</v>
      </c>
      <c r="Z99" s="93">
        <f t="shared" si="16"/>
        <v>4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170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837217.11450507632</v>
      </c>
      <c r="P103" s="138">
        <f>IF(Inputs!$J$126&gt;0,P71*Inputs!$M$81/Inputs!$M$80*Inputs!$M$75*Inputs!$J$126,P77*Inputs!$M$75*P90*Inputs!$J$123)*$I$13</f>
        <v>831299.32812971936</v>
      </c>
      <c r="Q103" s="138">
        <f>IF(Inputs!$J$126&gt;0,Q71*Inputs!$M$81/Inputs!$M$80*Inputs!$M$75*Inputs!$J$126,Q77*Inputs!$M$75*Q90*Inputs!$J$123)*$I$13</f>
        <v>845341.89982115093</v>
      </c>
      <c r="R103" s="138">
        <f>IF(Inputs!$J$126&gt;0,R71*Inputs!$M$81/Inputs!$M$80*Inputs!$M$75*Inputs!$J$126,R77*Inputs!$M$75*R90*Inputs!$J$123)*$I$13</f>
        <v>875996.46599038946</v>
      </c>
      <c r="S103" s="138">
        <f>IF(Inputs!$J$126&gt;0,S71*Inputs!$M$81/Inputs!$M$80*Inputs!$M$75*Inputs!$J$126,S77*Inputs!$M$75*S90*Inputs!$J$123)*$I$13</f>
        <v>885233.76629537204</v>
      </c>
      <c r="T103" s="138">
        <f>IF(Inputs!$J$126&gt;0,T71*Inputs!$M$81/Inputs!$M$80*Inputs!$M$75*Inputs!$J$126,T77*Inputs!$M$75*T90*Inputs!$J$123)*$I$13</f>
        <v>898744.42239243141</v>
      </c>
      <c r="U103" s="138">
        <f>IF(Inputs!$J$126&gt;0,U71*Inputs!$M$81/Inputs!$M$80*Inputs!$M$75*Inputs!$J$126,U77*Inputs!$M$75*U90*Inputs!$J$123)*$I$13</f>
        <v>920035.47099700558</v>
      </c>
      <c r="V103" s="138">
        <f>IF(Inputs!$J$126&gt;0,V71*Inputs!$M$81/Inputs!$M$80*Inputs!$M$75*Inputs!$J$126,V77*Inputs!$M$75*V90*Inputs!$J$123)*$I$13</f>
        <v>920035.47099700558</v>
      </c>
      <c r="W103" s="138">
        <f>IF(Inputs!$J$126&gt;0,W71*Inputs!$M$81/Inputs!$M$80*Inputs!$M$75*Inputs!$J$126,W77*Inputs!$M$75*W90*Inputs!$J$123)*$I$13</f>
        <v>920035.47099700558</v>
      </c>
      <c r="X103" s="138">
        <f>IF(Inputs!$J$126&gt;0,X71*Inputs!$M$81/Inputs!$M$80*Inputs!$M$75*Inputs!$J$126,X77*Inputs!$M$75*X90*Inputs!$J$123)*$I$13</f>
        <v>920035.47099700558</v>
      </c>
      <c r="Y103" s="138">
        <f>IF(Inputs!$J$126&gt;0,Y71*Inputs!$M$81/Inputs!$M$80*Inputs!$M$75*Inputs!$J$126,Y77*Inputs!$M$75*Y90*Inputs!$J$123)*$I$13</f>
        <v>920035.47099700558</v>
      </c>
      <c r="Z103" s="138">
        <f>IF(Inputs!$J$126&gt;0,Z71*Inputs!$M$81/Inputs!$M$80*Inputs!$M$75*Inputs!$J$126,Z77*Inputs!$M$75*Z90*Inputs!$J$123)*$I$13</f>
        <v>920035.47099700558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124">
        <v>0</v>
      </c>
      <c r="P104" s="124">
        <v>0</v>
      </c>
      <c r="Q104" s="124">
        <v>0</v>
      </c>
      <c r="R104" s="124">
        <v>0</v>
      </c>
      <c r="S104" s="124">
        <v>0</v>
      </c>
      <c r="T104" s="124">
        <v>0</v>
      </c>
      <c r="U104" s="124">
        <v>0</v>
      </c>
      <c r="V104" s="124">
        <v>0</v>
      </c>
      <c r="W104" s="124">
        <v>0</v>
      </c>
      <c r="X104" s="124">
        <v>0</v>
      </c>
      <c r="Y104" s="124">
        <v>0</v>
      </c>
      <c r="Z104" s="124"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138">
        <f>IF(Inputs!$K$126&gt;0,O71*Inputs!$M$82/Inputs!$M$80*Inputs!$M$75*Inputs!$K$126,O78*Inputs!$M$75*O93*Inputs!$J$123)*$I$13</f>
        <v>1674434.2290101526</v>
      </c>
      <c r="P105" s="138">
        <f>IF(Inputs!$K$126&gt;0,P71*Inputs!$M$82/Inputs!$M$80*Inputs!$M$75*Inputs!$K$126,P78*Inputs!$M$75*P93*Inputs!$J$123)*$I$13</f>
        <v>1662598.6562594387</v>
      </c>
      <c r="Q105" s="138">
        <f>IF(Inputs!$K$126&gt;0,Q71*Inputs!$M$82/Inputs!$M$80*Inputs!$M$75*Inputs!$K$126,Q78*Inputs!$M$75*Q93*Inputs!$J$123)*$I$13</f>
        <v>1690683.7996423019</v>
      </c>
      <c r="R105" s="138">
        <f>IF(Inputs!$K$126&gt;0,R71*Inputs!$M$82/Inputs!$M$80*Inputs!$M$75*Inputs!$K$126,R78*Inputs!$M$75*R93*Inputs!$J$123)*$I$13</f>
        <v>1751992.9319807789</v>
      </c>
      <c r="S105" s="138">
        <f>IF(Inputs!$K$126&gt;0,S71*Inputs!$M$82/Inputs!$M$80*Inputs!$M$75*Inputs!$K$126,S78*Inputs!$M$75*S93*Inputs!$J$123)*$I$13</f>
        <v>1770467.5325907441</v>
      </c>
      <c r="T105" s="138">
        <f>IF(Inputs!$K$126&gt;0,T71*Inputs!$M$82/Inputs!$M$80*Inputs!$M$75*Inputs!$K$126,T78*Inputs!$M$75*T93*Inputs!$J$123)*$I$13</f>
        <v>1797488.8447848628</v>
      </c>
      <c r="U105" s="138">
        <f>IF(Inputs!$K$126&gt;0,U71*Inputs!$M$82/Inputs!$M$80*Inputs!$M$75*Inputs!$K$126,U78*Inputs!$M$75*U93*Inputs!$J$123)*$I$13</f>
        <v>1840070.9419940112</v>
      </c>
      <c r="V105" s="138">
        <f>IF(Inputs!$K$126&gt;0,V71*Inputs!$M$82/Inputs!$M$80*Inputs!$M$75*Inputs!$K$126,V78*Inputs!$M$75*V93*Inputs!$J$123)*$I$13</f>
        <v>1840070.9419940112</v>
      </c>
      <c r="W105" s="138">
        <f>IF(Inputs!$K$126&gt;0,W71*Inputs!$M$82/Inputs!$M$80*Inputs!$M$75*Inputs!$K$126,W78*Inputs!$M$75*W93*Inputs!$J$123)*$I$13</f>
        <v>1840070.9419940112</v>
      </c>
      <c r="X105" s="138">
        <f>IF(Inputs!$K$126&gt;0,X71*Inputs!$M$82/Inputs!$M$80*Inputs!$M$75*Inputs!$K$126,X78*Inputs!$M$75*X93*Inputs!$J$123)*$I$13</f>
        <v>1840070.9419940112</v>
      </c>
      <c r="Y105" s="138">
        <f>IF(Inputs!$K$126&gt;0,Y71*Inputs!$M$82/Inputs!$M$80*Inputs!$M$75*Inputs!$K$126,Y78*Inputs!$M$75*Y93*Inputs!$J$123)*$I$13</f>
        <v>1840070.9419940112</v>
      </c>
      <c r="Z105" s="138">
        <f>IF(Inputs!$K$126&gt;0,Z71*Inputs!$M$82/Inputs!$M$80*Inputs!$M$75*Inputs!$K$126,Z78*Inputs!$M$75*Z93*Inputs!$J$123)*$I$13</f>
        <v>1840070.9419940112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171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172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0.12060156960907718</v>
      </c>
      <c r="P114" s="56">
        <f>Inputs!P64*$I$9</f>
        <v>0.12975446740681826</v>
      </c>
      <c r="Q114" s="56">
        <f>Inputs!Q64*$I$9</f>
        <v>0.13969553288221162</v>
      </c>
      <c r="R114" s="56">
        <f>Inputs!R64*$I$9</f>
        <v>0.15049648967668242</v>
      </c>
      <c r="S114" s="56">
        <f>Inputs!S64*$I$9</f>
        <v>0.1622358078722938</v>
      </c>
      <c r="T114" s="56">
        <f>Inputs!T64*$I$9</f>
        <v>0.17499935188045795</v>
      </c>
      <c r="U114" s="56">
        <f>Inputs!U64*$I$9</f>
        <v>0.18888109139380116</v>
      </c>
      <c r="V114" s="56">
        <f>Inputs!V64*$I$9</f>
        <v>0.20398388159434314</v>
      </c>
      <c r="W114" s="56">
        <f>Inputs!W64*$I$9</f>
        <v>0.22042031942295803</v>
      </c>
      <c r="X114" s="56">
        <f>Inputs!X64*$I$9</f>
        <v>0.23831368338755582</v>
      </c>
      <c r="Y114" s="56">
        <f>Inputs!Y64*$I$9</f>
        <v>0.25779896512662415</v>
      </c>
      <c r="Z114" s="56">
        <f>Inputs!Z64*$I$9</f>
        <v>0.27902400175728548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1.5075196201134648E-3</v>
      </c>
      <c r="P115" s="56">
        <f>Inputs!P65*$I$9</f>
        <v>1.6219308425852272E-3</v>
      </c>
      <c r="Q115" s="56">
        <f>Inputs!Q65*$I$9</f>
        <v>1.7461941610276458E-3</v>
      </c>
      <c r="R115" s="56">
        <f>Inputs!R65*$I$9</f>
        <v>1.8812061209585302E-3</v>
      </c>
      <c r="S115" s="56">
        <f>Inputs!S65*$I$9</f>
        <v>2.027947598403673E-3</v>
      </c>
      <c r="T115" s="56">
        <f>Inputs!T65*$I$9</f>
        <v>2.1874918985057231E-3</v>
      </c>
      <c r="U115" s="56">
        <f>Inputs!U65*$I$9</f>
        <v>2.361013642422514E-3</v>
      </c>
      <c r="V115" s="56">
        <f>Inputs!V65*$I$9</f>
        <v>2.5497985199292895E-3</v>
      </c>
      <c r="W115" s="56">
        <f>Inputs!W65*$I$9</f>
        <v>2.7552539927869742E-3</v>
      </c>
      <c r="X115" s="56">
        <f>Inputs!X65*$I$9</f>
        <v>2.9789210423444477E-3</v>
      </c>
      <c r="Y115" s="56">
        <f>Inputs!Y65*$I$9</f>
        <v>3.2224870640828016E-3</v>
      </c>
      <c r="Z115" s="56">
        <f>Inputs!Z65*$I$9</f>
        <v>3.4878000219660675E-3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173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100969.69811289471</v>
      </c>
      <c r="P119" s="70">
        <f t="shared" ref="P119:Z119" si="17">P103*P114*$T$37</f>
        <v>107864.80157711759</v>
      </c>
      <c r="Q119" s="70">
        <f t="shared" si="17"/>
        <v>118090.48716317683</v>
      </c>
      <c r="R119" s="70">
        <f t="shared" si="17"/>
        <v>131834.39310073294</v>
      </c>
      <c r="S119" s="70">
        <f t="shared" si="17"/>
        <v>143616.61523076301</v>
      </c>
      <c r="T119" s="70">
        <f t="shared" si="17"/>
        <v>157279.69142485203</v>
      </c>
      <c r="U119" s="70">
        <f t="shared" si="17"/>
        <v>173777.30388292432</v>
      </c>
      <c r="V119" s="70">
        <f t="shared" si="17"/>
        <v>187672.40657844889</v>
      </c>
      <c r="W119" s="70">
        <f t="shared" si="17"/>
        <v>202794.5123976116</v>
      </c>
      <c r="X119" s="70">
        <f t="shared" si="17"/>
        <v>219257.04194050119</v>
      </c>
      <c r="Y119" s="70">
        <f t="shared" si="17"/>
        <v>237184.19230281428</v>
      </c>
      <c r="Z119" s="70">
        <f t="shared" si="17"/>
        <v>256711.97887623345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</f>
        <v>2524.2424528223678</v>
      </c>
      <c r="P120" s="138">
        <f t="shared" ref="P120:Z120" si="20">P105*P115*$T$27</f>
        <v>2696.6200394279381</v>
      </c>
      <c r="Q120" s="138">
        <f t="shared" si="20"/>
        <v>2952.2621790794219</v>
      </c>
      <c r="R120" s="138">
        <f t="shared" si="20"/>
        <v>3295.8598275183231</v>
      </c>
      <c r="S120" s="138">
        <f t="shared" si="20"/>
        <v>3590.4153807690759</v>
      </c>
      <c r="T120" s="138">
        <f t="shared" si="20"/>
        <v>3931.9922856212988</v>
      </c>
      <c r="U120" s="138">
        <f t="shared" si="20"/>
        <v>4344.432597073107</v>
      </c>
      <c r="V120" s="138">
        <f t="shared" si="20"/>
        <v>4691.8101644612234</v>
      </c>
      <c r="W120" s="138">
        <f t="shared" si="20"/>
        <v>5069.8628099402877</v>
      </c>
      <c r="X120" s="138">
        <f t="shared" si="20"/>
        <v>5481.4260485125296</v>
      </c>
      <c r="Y120" s="138">
        <f t="shared" si="20"/>
        <v>5929.6048075703566</v>
      </c>
      <c r="Z120" s="138">
        <f t="shared" si="20"/>
        <v>6417.7994719058352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51" t="str">
        <f t="shared" si="18"/>
        <v>Network Performance</v>
      </c>
      <c r="E121" s="51"/>
      <c r="F121" s="51"/>
      <c r="G121" s="51"/>
      <c r="H121" s="51"/>
      <c r="I121" s="51"/>
      <c r="J121" s="86" t="str">
        <f t="shared" si="19"/>
        <v>Catastrophic</v>
      </c>
      <c r="K121" s="51"/>
      <c r="L121" s="51"/>
      <c r="M121" s="51"/>
      <c r="N121" s="51"/>
      <c r="O121" s="124">
        <v>0</v>
      </c>
      <c r="P121" s="124">
        <v>0</v>
      </c>
      <c r="Q121" s="124">
        <v>0</v>
      </c>
      <c r="R121" s="124">
        <v>0</v>
      </c>
      <c r="S121" s="124">
        <v>0</v>
      </c>
      <c r="T121" s="124">
        <v>0</v>
      </c>
      <c r="U121" s="124">
        <v>0</v>
      </c>
      <c r="V121" s="124">
        <v>0</v>
      </c>
      <c r="W121" s="124">
        <v>0</v>
      </c>
      <c r="X121" s="124">
        <v>0</v>
      </c>
      <c r="Y121" s="124">
        <v>0</v>
      </c>
      <c r="Z121" s="124"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191</v>
      </c>
      <c r="E122" s="51"/>
      <c r="F122" s="51"/>
      <c r="G122" s="51"/>
      <c r="H122" s="51"/>
      <c r="I122" s="51"/>
      <c r="J122" s="86" t="str">
        <f>J119</f>
        <v>Significant</v>
      </c>
      <c r="K122" s="51"/>
      <c r="L122" s="51"/>
      <c r="M122" s="51"/>
      <c r="N122" s="51"/>
      <c r="O122" s="124">
        <v>0</v>
      </c>
      <c r="P122" s="124">
        <v>0</v>
      </c>
      <c r="Q122" s="124">
        <v>0</v>
      </c>
      <c r="R122" s="124">
        <v>0</v>
      </c>
      <c r="S122" s="124">
        <v>0</v>
      </c>
      <c r="T122" s="124">
        <v>0</v>
      </c>
      <c r="U122" s="124">
        <v>0</v>
      </c>
      <c r="V122" s="124">
        <v>0</v>
      </c>
      <c r="W122" s="124">
        <v>0</v>
      </c>
      <c r="X122" s="124">
        <v>0</v>
      </c>
      <c r="Y122" s="124">
        <v>0</v>
      </c>
      <c r="Z122" s="124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51" t="str">
        <f>D122</f>
        <v>Network Performance - Coincidental outage</v>
      </c>
      <c r="E123" s="51"/>
      <c r="F123" s="51"/>
      <c r="G123" s="51"/>
      <c r="H123" s="51"/>
      <c r="I123" s="51"/>
      <c r="J123" s="86" t="str">
        <f>J120</f>
        <v>Major</v>
      </c>
      <c r="K123" s="51"/>
      <c r="L123" s="51"/>
      <c r="M123" s="51"/>
      <c r="N123" s="51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174</v>
      </c>
      <c r="E124" s="51"/>
      <c r="F124" s="51"/>
      <c r="G124" s="51"/>
      <c r="H124" s="51"/>
      <c r="I124" s="51"/>
      <c r="J124" s="86" t="str">
        <f>J119</f>
        <v>Significant</v>
      </c>
      <c r="K124" s="51"/>
      <c r="L124" s="51"/>
      <c r="M124" s="51"/>
      <c r="N124" s="51"/>
      <c r="O124" s="70">
        <f t="shared" ref="O124:Z124" si="21">SUMIF($J$49:$J$51,$J124,$V$49:$V$51)*O114</f>
        <v>15100.449239134383</v>
      </c>
      <c r="P124" s="70">
        <f t="shared" si="21"/>
        <v>16246.4780100184</v>
      </c>
      <c r="Q124" s="70">
        <f t="shared" si="21"/>
        <v>17491.192776838401</v>
      </c>
      <c r="R124" s="70">
        <f t="shared" si="21"/>
        <v>18843.574013149559</v>
      </c>
      <c r="S124" s="70">
        <f t="shared" si="21"/>
        <v>20313.4469102394</v>
      </c>
      <c r="T124" s="70">
        <f t="shared" si="21"/>
        <v>21911.562498879583</v>
      </c>
      <c r="U124" s="70">
        <f t="shared" si="21"/>
        <v>23649.686667176877</v>
      </c>
      <c r="V124" s="70">
        <f t="shared" si="21"/>
        <v>25540.697849965123</v>
      </c>
      <c r="W124" s="70">
        <f t="shared" si="21"/>
        <v>27598.694241784113</v>
      </c>
      <c r="X124" s="70">
        <f t="shared" si="21"/>
        <v>29839.111469690808</v>
      </c>
      <c r="Y124" s="70">
        <f t="shared" si="21"/>
        <v>32278.851754703544</v>
      </c>
      <c r="Z124" s="70">
        <f t="shared" si="21"/>
        <v>34936.425692414101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175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432.22114756696641</v>
      </c>
      <c r="P125" s="70">
        <f t="shared" si="22"/>
        <v>465.02400413447339</v>
      </c>
      <c r="Q125" s="70">
        <f t="shared" si="22"/>
        <v>500.65155642703928</v>
      </c>
      <c r="R125" s="70">
        <f t="shared" si="22"/>
        <v>539.36085312740329</v>
      </c>
      <c r="S125" s="70">
        <f t="shared" si="22"/>
        <v>581.4331213292844</v>
      </c>
      <c r="T125" s="70">
        <f t="shared" si="22"/>
        <v>627.17608849059172</v>
      </c>
      <c r="U125" s="70">
        <f t="shared" si="22"/>
        <v>676.92653039720631</v>
      </c>
      <c r="V125" s="70">
        <f t="shared" si="22"/>
        <v>731.05306733284249</v>
      </c>
      <c r="W125" s="70">
        <f t="shared" si="22"/>
        <v>789.95923284316495</v>
      </c>
      <c r="X125" s="70">
        <f t="shared" si="22"/>
        <v>854.0868418923742</v>
      </c>
      <c r="Y125" s="70">
        <f t="shared" si="22"/>
        <v>923.91968785967799</v>
      </c>
      <c r="Z125" s="70">
        <f t="shared" si="22"/>
        <v>999.98760073504104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176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177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5135.9549097345143</v>
      </c>
      <c r="P127" s="70">
        <f>Inputs!$J$27*$I$11</f>
        <v>5135.9549097345143</v>
      </c>
      <c r="Q127" s="70">
        <f>Inputs!$J$27*$I$11</f>
        <v>5135.9549097345143</v>
      </c>
      <c r="R127" s="70">
        <f>Inputs!$J$27*$I$11</f>
        <v>5135.9549097345143</v>
      </c>
      <c r="S127" s="70">
        <f>Inputs!$J$27*$I$11</f>
        <v>5135.9549097345143</v>
      </c>
      <c r="T127" s="70">
        <f>Inputs!$J$27*$I$11</f>
        <v>5135.9549097345143</v>
      </c>
      <c r="U127" s="70">
        <f>Inputs!$J$27*$I$11</f>
        <v>5135.9549097345143</v>
      </c>
      <c r="V127" s="70">
        <f>Inputs!$J$27*$I$11</f>
        <v>5135.9549097345143</v>
      </c>
      <c r="W127" s="70">
        <f>Inputs!$J$27*$I$11</f>
        <v>5135.9549097345143</v>
      </c>
      <c r="X127" s="70">
        <f>Inputs!$J$27*$I$11</f>
        <v>5135.9549097345143</v>
      </c>
      <c r="Y127" s="70">
        <f>Inputs!$J$27*$I$11</f>
        <v>5135.9549097345143</v>
      </c>
      <c r="Z127" s="70">
        <f>Inputs!$J$27*$I$11</f>
        <v>5135.9549097345143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165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124162.56586215293</v>
      </c>
      <c r="P128" s="98">
        <f t="shared" ref="P128:Z128" si="24">SUM(P119:P127)</f>
        <v>132408.87854043292</v>
      </c>
      <c r="Q128" s="98">
        <f t="shared" si="24"/>
        <v>144170.54858525621</v>
      </c>
      <c r="R128" s="98">
        <f t="shared" si="24"/>
        <v>159649.14270426275</v>
      </c>
      <c r="S128" s="98">
        <f t="shared" si="24"/>
        <v>173237.86555283531</v>
      </c>
      <c r="T128" s="98">
        <f t="shared" si="24"/>
        <v>188886.37720757801</v>
      </c>
      <c r="U128" s="98">
        <f t="shared" si="24"/>
        <v>207584.30458730602</v>
      </c>
      <c r="V128" s="98">
        <f t="shared" si="24"/>
        <v>223771.9225699426</v>
      </c>
      <c r="W128" s="98">
        <f t="shared" si="24"/>
        <v>241388.98359191368</v>
      </c>
      <c r="X128" s="98">
        <f t="shared" si="24"/>
        <v>260567.62121033142</v>
      </c>
      <c r="Y128" s="98">
        <f t="shared" si="24"/>
        <v>281452.52346268232</v>
      </c>
      <c r="Z128" s="98">
        <f t="shared" si="24"/>
        <v>304202.14655102295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178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179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180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0</v>
      </c>
      <c r="S135" s="70">
        <f>Inputs!S22*'Scenario D'!$I$10</f>
        <v>1049200.8849557522</v>
      </c>
      <c r="T135" s="70">
        <f>Inputs!T22*'Scenario D'!$I$10</f>
        <v>0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181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182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183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58587.349611471262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184</v>
      </c>
      <c r="E139" s="51"/>
      <c r="F139" s="51"/>
      <c r="G139" s="51"/>
      <c r="H139" s="51"/>
      <c r="I139" s="51"/>
      <c r="J139" s="70">
        <f>Inputs!K27*$I$11</f>
        <v>4301.2573168141598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185</v>
      </c>
      <c r="E140" s="51"/>
      <c r="F140" s="51"/>
      <c r="G140" s="51"/>
      <c r="H140" s="51"/>
      <c r="I140" s="51"/>
      <c r="J140" s="70">
        <f>SUM(J138:J139)</f>
        <v>62888.606928285422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186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187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188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124162.56586215293</v>
      </c>
      <c r="P147" s="70">
        <f t="shared" ref="P147:Z147" si="27">P128</f>
        <v>132408.87854043292</v>
      </c>
      <c r="Q147" s="70">
        <f t="shared" si="27"/>
        <v>144170.54858525621</v>
      </c>
      <c r="R147" s="70">
        <f t="shared" si="27"/>
        <v>159649.14270426275</v>
      </c>
      <c r="S147" s="70">
        <f t="shared" si="27"/>
        <v>173237.86555283531</v>
      </c>
      <c r="T147" s="70">
        <f t="shared" si="27"/>
        <v>188886.37720757801</v>
      </c>
      <c r="U147" s="70">
        <f t="shared" si="27"/>
        <v>207584.30458730602</v>
      </c>
      <c r="V147" s="70">
        <f t="shared" si="27"/>
        <v>223771.9225699426</v>
      </c>
      <c r="W147" s="70">
        <f t="shared" si="27"/>
        <v>241388.98359191368</v>
      </c>
      <c r="X147" s="70">
        <f t="shared" si="27"/>
        <v>260567.62121033142</v>
      </c>
      <c r="Y147" s="70">
        <f t="shared" si="27"/>
        <v>281452.52346268232</v>
      </c>
      <c r="Z147" s="70">
        <f t="shared" si="27"/>
        <v>304202.14655102295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178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62888.606928285422</v>
      </c>
      <c r="P148" s="70">
        <f t="shared" ref="P148:Z148" si="28">$J$140</f>
        <v>62888.606928285422</v>
      </c>
      <c r="Q148" s="70">
        <f t="shared" si="28"/>
        <v>62888.606928285422</v>
      </c>
      <c r="R148" s="70">
        <f t="shared" si="28"/>
        <v>62888.606928285422</v>
      </c>
      <c r="S148" s="70">
        <f t="shared" si="28"/>
        <v>62888.606928285422</v>
      </c>
      <c r="T148" s="70">
        <f t="shared" si="28"/>
        <v>62888.606928285422</v>
      </c>
      <c r="U148" s="70">
        <f t="shared" si="28"/>
        <v>62888.606928285422</v>
      </c>
      <c r="V148" s="70">
        <f t="shared" si="28"/>
        <v>62888.606928285422</v>
      </c>
      <c r="W148" s="70">
        <f t="shared" si="28"/>
        <v>62888.606928285422</v>
      </c>
      <c r="X148" s="70">
        <f t="shared" si="28"/>
        <v>62888.606928285422</v>
      </c>
      <c r="Y148" s="70">
        <f t="shared" si="28"/>
        <v>62888.606928285422</v>
      </c>
      <c r="Z148" s="70">
        <f t="shared" si="28"/>
        <v>62888.606928285422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189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149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tabSelected="1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CitiPower - J18 TK Circuit Breaker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186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187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188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102699.99251433894</v>
      </c>
      <c r="P9" s="19">
        <f>'Base Case'!P147</f>
        <v>109441.69244161625</v>
      </c>
      <c r="Q9" s="19">
        <f>'Base Case'!Q147</f>
        <v>118971.92313098411</v>
      </c>
      <c r="R9" s="19">
        <f>'Base Case'!R147</f>
        <v>131451.3036922022</v>
      </c>
      <c r="S9" s="19">
        <f>'Base Case'!S147</f>
        <v>142468.92477351433</v>
      </c>
      <c r="T9" s="19">
        <f>'Base Case'!T147</f>
        <v>155135.88658221613</v>
      </c>
      <c r="U9" s="19">
        <f>'Base Case'!U147</f>
        <v>170233.69416262448</v>
      </c>
      <c r="V9" s="19">
        <f>'Base Case'!V147</f>
        <v>183389.15571204905</v>
      </c>
      <c r="W9" s="19">
        <f>'Base Case'!W147</f>
        <v>197706.30658236245</v>
      </c>
      <c r="X9" s="19">
        <f>'Base Case'!X147</f>
        <v>213292.5299556884</v>
      </c>
      <c r="Y9" s="19">
        <f>'Base Case'!Y147</f>
        <v>230265.41187315149</v>
      </c>
      <c r="Z9" s="19">
        <f>'Base Case'!Z147</f>
        <v>248753.72757985926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178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69876.229920317142</v>
      </c>
      <c r="P10" s="19">
        <f>'Base Case'!P148</f>
        <v>69876.229920317142</v>
      </c>
      <c r="Q10" s="19">
        <f>'Base Case'!Q148</f>
        <v>69876.229920317142</v>
      </c>
      <c r="R10" s="19">
        <f>'Base Case'!R148</f>
        <v>69876.229920317142</v>
      </c>
      <c r="S10" s="19">
        <f>'Base Case'!S148</f>
        <v>69876.229920317142</v>
      </c>
      <c r="T10" s="19">
        <f>'Base Case'!T148</f>
        <v>69876.229920317142</v>
      </c>
      <c r="U10" s="19">
        <f>'Base Case'!U148</f>
        <v>69876.229920317142</v>
      </c>
      <c r="V10" s="19">
        <f>'Base Case'!V148</f>
        <v>69876.229920317142</v>
      </c>
      <c r="W10" s="19">
        <f>'Base Case'!W148</f>
        <v>69876.229920317142</v>
      </c>
      <c r="X10" s="19">
        <f>'Base Case'!X148</f>
        <v>69876.229920317142</v>
      </c>
      <c r="Y10" s="19">
        <f>'Base Case'!Y148</f>
        <v>69876.229920317142</v>
      </c>
      <c r="Z10" s="19">
        <f>'Base Case'!Z148</f>
        <v>69876.229920317142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84213.078959300721</v>
      </c>
      <c r="P11" s="36">
        <f>'Scenario A'!P147</f>
        <v>89651.220528821315</v>
      </c>
      <c r="Q11" s="36">
        <f>'Scenario A'!Q147</f>
        <v>97256.6990817162</v>
      </c>
      <c r="R11" s="36">
        <f>'Scenario A'!R147</f>
        <v>107155.07322655396</v>
      </c>
      <c r="S11" s="36">
        <f>'Scenario A'!S147</f>
        <v>115954.29498878216</v>
      </c>
      <c r="T11" s="36">
        <f>'Scenario A'!T147</f>
        <v>126050.70504238752</v>
      </c>
      <c r="U11" s="36">
        <f>'Scenario A'!U147</f>
        <v>138048.2423263973</v>
      </c>
      <c r="V11" s="36">
        <f>'Scenario A'!V147</f>
        <v>148584.54964382708</v>
      </c>
      <c r="W11" s="36">
        <f>'Scenario A'!W147</f>
        <v>160051.26260656817</v>
      </c>
      <c r="X11" s="36">
        <f>'Scenario A'!X147</f>
        <v>172534.38520644774</v>
      </c>
      <c r="Y11" s="36">
        <f>'Scenario A'!Y147</f>
        <v>186128.09298119778</v>
      </c>
      <c r="Z11" s="36">
        <f>'Scenario A'!Z147</f>
        <v>200935.52298551091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76863.852912348841</v>
      </c>
      <c r="P12" s="36">
        <f>'Scenario A'!P148</f>
        <v>76863.852912348841</v>
      </c>
      <c r="Q12" s="36">
        <f>'Scenario A'!Q148</f>
        <v>76863.852912348841</v>
      </c>
      <c r="R12" s="36">
        <f>'Scenario A'!R148</f>
        <v>76863.852912348841</v>
      </c>
      <c r="S12" s="36">
        <f>'Scenario A'!S148</f>
        <v>76863.852912348841</v>
      </c>
      <c r="T12" s="36">
        <f>'Scenario A'!T148</f>
        <v>76863.852912348841</v>
      </c>
      <c r="U12" s="36">
        <f>'Scenario A'!U148</f>
        <v>76863.852912348841</v>
      </c>
      <c r="V12" s="36">
        <f>'Scenario A'!V148</f>
        <v>76863.852912348841</v>
      </c>
      <c r="W12" s="36">
        <f>'Scenario A'!W148</f>
        <v>76863.852912348841</v>
      </c>
      <c r="X12" s="36">
        <f>'Scenario A'!X148</f>
        <v>76863.852912348841</v>
      </c>
      <c r="Y12" s="36">
        <f>'Scenario A'!Y148</f>
        <v>76863.852912348841</v>
      </c>
      <c r="Z12" s="36">
        <f>'Scenario A'!Z148</f>
        <v>76863.852912348841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80445.190119080507</v>
      </c>
      <c r="P13" s="36">
        <f>'Scenario B'!P147</f>
        <v>85683.991946132315</v>
      </c>
      <c r="Q13" s="36">
        <f>'Scenario B'!Q147</f>
        <v>93072.965357647874</v>
      </c>
      <c r="R13" s="36">
        <f>'Scenario B'!R147</f>
        <v>102736.10690255889</v>
      </c>
      <c r="S13" s="36">
        <f>'Scenario B'!S147</f>
        <v>111279.65961684362</v>
      </c>
      <c r="T13" s="36">
        <f>'Scenario B'!T147</f>
        <v>121098.0941449051</v>
      </c>
      <c r="U13" s="36">
        <f>'Scenario B'!U147</f>
        <v>132793.30287234651</v>
      </c>
      <c r="V13" s="36">
        <f>'Scenario B'!V147</f>
        <v>143000.68853286898</v>
      </c>
      <c r="W13" s="36">
        <f>'Scenario B'!W147</f>
        <v>154109.43450458033</v>
      </c>
      <c r="X13" s="36">
        <f>'Scenario B'!X147</f>
        <v>166202.85991309787</v>
      </c>
      <c r="Y13" s="36">
        <f>'Scenario B'!Y147</f>
        <v>179372.2003312326</v>
      </c>
      <c r="Z13" s="36">
        <f>'Scenario B'!Z147</f>
        <v>193717.37308878708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62888.606928285422</v>
      </c>
      <c r="P14" s="36">
        <f>'Scenario B'!P148</f>
        <v>62888.606928285422</v>
      </c>
      <c r="Q14" s="36">
        <f>'Scenario B'!Q148</f>
        <v>62888.606928285422</v>
      </c>
      <c r="R14" s="36">
        <f>'Scenario B'!R148</f>
        <v>62888.606928285422</v>
      </c>
      <c r="S14" s="36">
        <f>'Scenario B'!S148</f>
        <v>62888.606928285422</v>
      </c>
      <c r="T14" s="36">
        <f>'Scenario B'!T148</f>
        <v>62888.606928285422</v>
      </c>
      <c r="U14" s="36">
        <f>'Scenario B'!U148</f>
        <v>62888.606928285422</v>
      </c>
      <c r="V14" s="36">
        <f>'Scenario B'!V148</f>
        <v>62888.606928285422</v>
      </c>
      <c r="W14" s="36">
        <f>'Scenario B'!W148</f>
        <v>62888.606928285422</v>
      </c>
      <c r="X14" s="36">
        <f>'Scenario B'!X148</f>
        <v>62888.606928285422</v>
      </c>
      <c r="Y14" s="36">
        <f>'Scenario B'!Y148</f>
        <v>62888.606928285422</v>
      </c>
      <c r="Z14" s="36">
        <f>'Scenario B'!Z148</f>
        <v>62888.606928285422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128514.13593058335</v>
      </c>
      <c r="P15" s="36">
        <f>'Scenario C'!P147</f>
        <v>137004.08607188077</v>
      </c>
      <c r="Q15" s="36">
        <f>'Scenario C'!Q147</f>
        <v>149030.37351172318</v>
      </c>
      <c r="R15" s="36">
        <f>'Scenario C'!R147</f>
        <v>164796.47414175127</v>
      </c>
      <c r="S15" s="36">
        <f>'Scenario C'!S147</f>
        <v>178697.68138225476</v>
      </c>
      <c r="T15" s="36">
        <f>'Scenario C'!T147</f>
        <v>194685.9409015511</v>
      </c>
      <c r="U15" s="36">
        <f>'Scenario C'!U147</f>
        <v>213753.38096152933</v>
      </c>
      <c r="V15" s="36">
        <f>'Scenario C'!V147</f>
        <v>230343.01430260818</v>
      </c>
      <c r="W15" s="36">
        <f>'Scenario C'!W147</f>
        <v>248397.5905358379</v>
      </c>
      <c r="X15" s="36">
        <f>'Scenario C'!X147</f>
        <v>268052.5247214759</v>
      </c>
      <c r="Y15" s="36">
        <f>'Scenario C'!Y147</f>
        <v>289456.09818746778</v>
      </c>
      <c r="Z15" s="36">
        <f>'Scenario C'!Z147</f>
        <v>312770.70235517999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76863.852912348841</v>
      </c>
      <c r="P16" s="36">
        <f>'Scenario C'!P148</f>
        <v>76863.852912348841</v>
      </c>
      <c r="Q16" s="36">
        <f>'Scenario C'!Q148</f>
        <v>76863.852912348841</v>
      </c>
      <c r="R16" s="36">
        <f>'Scenario C'!R148</f>
        <v>76863.852912348841</v>
      </c>
      <c r="S16" s="36">
        <f>'Scenario C'!S148</f>
        <v>76863.852912348841</v>
      </c>
      <c r="T16" s="36">
        <f>'Scenario C'!T148</f>
        <v>76863.852912348841</v>
      </c>
      <c r="U16" s="36">
        <f>'Scenario C'!U148</f>
        <v>76863.852912348841</v>
      </c>
      <c r="V16" s="36">
        <f>'Scenario C'!V148</f>
        <v>76863.852912348841</v>
      </c>
      <c r="W16" s="36">
        <f>'Scenario C'!W148</f>
        <v>76863.852912348841</v>
      </c>
      <c r="X16" s="36">
        <f>'Scenario C'!X148</f>
        <v>76863.852912348841</v>
      </c>
      <c r="Y16" s="36">
        <f>'Scenario C'!Y148</f>
        <v>76863.852912348841</v>
      </c>
      <c r="Z16" s="36">
        <f>'Scenario C'!Z148</f>
        <v>76863.852912348841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124162.56586215293</v>
      </c>
      <c r="P17" s="36">
        <f>'Scenario D'!P147</f>
        <v>132408.87854043292</v>
      </c>
      <c r="Q17" s="36">
        <f>'Scenario D'!Q147</f>
        <v>144170.54858525621</v>
      </c>
      <c r="R17" s="36">
        <f>'Scenario D'!R147</f>
        <v>159649.14270426275</v>
      </c>
      <c r="S17" s="36">
        <f>'Scenario D'!S147</f>
        <v>173237.86555283531</v>
      </c>
      <c r="T17" s="36">
        <f>'Scenario D'!T147</f>
        <v>188886.37720757801</v>
      </c>
      <c r="U17" s="36">
        <f>'Scenario D'!U147</f>
        <v>207584.30458730602</v>
      </c>
      <c r="V17" s="36">
        <f>'Scenario D'!V147</f>
        <v>223771.9225699426</v>
      </c>
      <c r="W17" s="36">
        <f>'Scenario D'!W147</f>
        <v>241388.98359191368</v>
      </c>
      <c r="X17" s="36">
        <f>'Scenario D'!X147</f>
        <v>260567.62121033142</v>
      </c>
      <c r="Y17" s="36">
        <f>'Scenario D'!Y147</f>
        <v>281452.52346268232</v>
      </c>
      <c r="Z17" s="36">
        <f>'Scenario D'!Z147</f>
        <v>304202.14655102295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62888.606928285422</v>
      </c>
      <c r="P18" s="36">
        <f>'Scenario D'!P148</f>
        <v>62888.606928285422</v>
      </c>
      <c r="Q18" s="36">
        <f>'Scenario D'!Q148</f>
        <v>62888.606928285422</v>
      </c>
      <c r="R18" s="36">
        <f>'Scenario D'!R148</f>
        <v>62888.606928285422</v>
      </c>
      <c r="S18" s="36">
        <f>'Scenario D'!S148</f>
        <v>62888.606928285422</v>
      </c>
      <c r="T18" s="36">
        <f>'Scenario D'!T148</f>
        <v>62888.606928285422</v>
      </c>
      <c r="U18" s="36">
        <f>'Scenario D'!U148</f>
        <v>62888.606928285422</v>
      </c>
      <c r="V18" s="36">
        <f>'Scenario D'!V148</f>
        <v>62888.606928285422</v>
      </c>
      <c r="W18" s="36">
        <f>'Scenario D'!W148</f>
        <v>62888.606928285422</v>
      </c>
      <c r="X18" s="36">
        <f>'Scenario D'!X148</f>
        <v>62888.606928285422</v>
      </c>
      <c r="Y18" s="36">
        <f>'Scenario D'!Y148</f>
        <v>62888.606928285422</v>
      </c>
      <c r="Z18" s="36">
        <f>'Scenario D'!Z148</f>
        <v>62888.606928285422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 t="s">
        <v>190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149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2019-10-23T03:48:40Z</dcterms:created>
  <dcterms:modified xsi:type="dcterms:W3CDTF">2020-01-29T02:59:33Z</dcterms:modified>
</cp:coreProperties>
</file>