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NR" sheetId="72" r:id="rId1"/>
    <sheet name="Output_R" sheetId="77" r:id="rId2"/>
    <sheet name="Summary" sheetId="70" r:id="rId3"/>
    <sheet name="Assumptions" sheetId="74" r:id="rId4"/>
    <sheet name="Option 1" sheetId="69" r:id="rId5"/>
    <sheet name="Option 2" sheetId="71" r:id="rId6"/>
    <sheet name="Benefits" sheetId="76" r:id="rId7"/>
  </sheets>
  <definedNames>
    <definedName name="Conv_2021">Assumptions!$B$18</definedName>
    <definedName name="Option1_categories">'Option 1'!$C$89:$C$94</definedName>
    <definedName name="Option1_costs">'Option 1'!$Q$89:$U$94</definedName>
    <definedName name="Option2_categories">'Option 2'!$C$104:$C$109</definedName>
    <definedName name="Option2_costs">'Option 2'!$Q$104:$U$109</definedName>
    <definedName name="_xlnm.Print_Area" localSheetId="2">Summary!$A$1:$J$28</definedName>
    <definedName name="years">'Option 1'!$Q$8:$U$8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5" i="76" l="1"/>
  <c r="G13" i="76"/>
  <c r="F13" i="76"/>
  <c r="E13" i="76"/>
  <c r="H106" i="69" l="1"/>
  <c r="H105" i="69"/>
  <c r="H104" i="69"/>
  <c r="H103" i="69"/>
  <c r="H102" i="69"/>
  <c r="H101" i="69"/>
  <c r="C122" i="71"/>
  <c r="C107" i="69"/>
  <c r="L14" i="70"/>
  <c r="H121" i="71"/>
  <c r="H120" i="71"/>
  <c r="H119" i="71"/>
  <c r="H118" i="71"/>
  <c r="H117" i="71"/>
  <c r="H116" i="71"/>
  <c r="Z10" i="77"/>
  <c r="Y10" i="77"/>
  <c r="X10" i="77"/>
  <c r="W10" i="77"/>
  <c r="V10" i="77"/>
  <c r="S10" i="77"/>
  <c r="T10" i="77"/>
  <c r="P10" i="77"/>
  <c r="Q10" i="77"/>
  <c r="M10" i="77"/>
  <c r="N10" i="77"/>
  <c r="J10" i="77"/>
  <c r="K10" i="77"/>
  <c r="G10" i="77"/>
  <c r="H10" i="77"/>
  <c r="D5" i="77"/>
  <c r="A1" i="77"/>
  <c r="C33" i="76"/>
  <c r="G81" i="76"/>
  <c r="G82" i="76"/>
  <c r="G68" i="76"/>
  <c r="G70" i="76" s="1"/>
  <c r="G67" i="76"/>
  <c r="G69" i="76"/>
  <c r="G57" i="76"/>
  <c r="G27" i="76"/>
  <c r="G29" i="76" s="1"/>
  <c r="F19" i="76"/>
  <c r="F20" i="76" s="1"/>
  <c r="E19" i="76"/>
  <c r="E20" i="76" s="1"/>
  <c r="F14" i="76"/>
  <c r="F22" i="76" s="1"/>
  <c r="F23" i="76" s="1"/>
  <c r="E14" i="76"/>
  <c r="G8" i="76"/>
  <c r="G7" i="76"/>
  <c r="G9" i="76"/>
  <c r="G22" i="76" s="1"/>
  <c r="G23" i="76" s="1"/>
  <c r="G49" i="76"/>
  <c r="G51" i="76" s="1"/>
  <c r="F9" i="76"/>
  <c r="E9" i="76"/>
  <c r="Q10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Q35" i="69"/>
  <c r="Q36" i="69"/>
  <c r="Q37" i="69"/>
  <c r="Q38" i="69"/>
  <c r="Q39" i="69"/>
  <c r="Q40" i="69"/>
  <c r="Q41" i="69"/>
  <c r="Q42" i="69"/>
  <c r="Q43" i="69"/>
  <c r="Q44" i="69"/>
  <c r="Q45" i="69"/>
  <c r="Q46" i="69"/>
  <c r="Q47" i="69"/>
  <c r="Q48" i="69"/>
  <c r="Q49" i="69"/>
  <c r="Q50" i="69"/>
  <c r="Q51" i="69"/>
  <c r="Q52" i="69"/>
  <c r="Q53" i="69"/>
  <c r="Q54" i="69"/>
  <c r="Q55" i="69"/>
  <c r="Q56" i="69"/>
  <c r="Q57" i="69"/>
  <c r="Q58" i="69"/>
  <c r="Q59" i="69"/>
  <c r="Q60" i="69"/>
  <c r="Q72" i="69"/>
  <c r="Q73" i="69"/>
  <c r="Q74" i="69"/>
  <c r="Q75" i="69"/>
  <c r="Q76" i="69"/>
  <c r="Q91" i="69"/>
  <c r="Q92" i="69"/>
  <c r="Q93" i="69"/>
  <c r="Q94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R35" i="69"/>
  <c r="R36" i="69"/>
  <c r="R37" i="69"/>
  <c r="R38" i="69"/>
  <c r="R39" i="69"/>
  <c r="R40" i="69"/>
  <c r="R41" i="69"/>
  <c r="R42" i="69"/>
  <c r="R43" i="69"/>
  <c r="R44" i="69"/>
  <c r="R45" i="69"/>
  <c r="R46" i="69"/>
  <c r="R47" i="69"/>
  <c r="R48" i="69"/>
  <c r="R49" i="69"/>
  <c r="R50" i="69"/>
  <c r="R51" i="69"/>
  <c r="R52" i="69"/>
  <c r="R53" i="69"/>
  <c r="R54" i="69"/>
  <c r="R55" i="69"/>
  <c r="R56" i="69"/>
  <c r="R57" i="69"/>
  <c r="R58" i="69"/>
  <c r="R59" i="69"/>
  <c r="R60" i="69"/>
  <c r="R72" i="69"/>
  <c r="R73" i="69"/>
  <c r="R74" i="69"/>
  <c r="R75" i="69"/>
  <c r="R76" i="69"/>
  <c r="R91" i="69"/>
  <c r="R92" i="69"/>
  <c r="R93" i="69"/>
  <c r="R94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S35" i="69"/>
  <c r="S36" i="69"/>
  <c r="S37" i="69"/>
  <c r="S38" i="69"/>
  <c r="S39" i="69"/>
  <c r="S40" i="69"/>
  <c r="S41" i="69"/>
  <c r="S42" i="69"/>
  <c r="S43" i="69"/>
  <c r="S44" i="69"/>
  <c r="S45" i="69"/>
  <c r="S46" i="69"/>
  <c r="S47" i="69"/>
  <c r="S48" i="69"/>
  <c r="S49" i="69"/>
  <c r="S50" i="69"/>
  <c r="S51" i="69"/>
  <c r="S52" i="69"/>
  <c r="S53" i="69"/>
  <c r="S54" i="69"/>
  <c r="S55" i="69"/>
  <c r="S56" i="69"/>
  <c r="S57" i="69"/>
  <c r="S58" i="69"/>
  <c r="S59" i="69"/>
  <c r="S60" i="69"/>
  <c r="S72" i="69"/>
  <c r="S73" i="69"/>
  <c r="S74" i="69"/>
  <c r="S75" i="69"/>
  <c r="S76" i="69"/>
  <c r="S91" i="69"/>
  <c r="S92" i="69"/>
  <c r="S93" i="69"/>
  <c r="S94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T35" i="69"/>
  <c r="T36" i="69"/>
  <c r="T37" i="69"/>
  <c r="T38" i="69"/>
  <c r="T39" i="69"/>
  <c r="T40" i="69"/>
  <c r="T41" i="69"/>
  <c r="T42" i="69"/>
  <c r="T43" i="69"/>
  <c r="T44" i="69"/>
  <c r="T45" i="69"/>
  <c r="T46" i="69"/>
  <c r="T47" i="69"/>
  <c r="T48" i="69"/>
  <c r="T49" i="69"/>
  <c r="T50" i="69"/>
  <c r="T51" i="69"/>
  <c r="T52" i="69"/>
  <c r="T53" i="69"/>
  <c r="T54" i="69"/>
  <c r="T55" i="69"/>
  <c r="T56" i="69"/>
  <c r="T57" i="69"/>
  <c r="T58" i="69"/>
  <c r="T59" i="69"/>
  <c r="T60" i="69"/>
  <c r="T72" i="69"/>
  <c r="T73" i="69"/>
  <c r="T74" i="69"/>
  <c r="T75" i="69"/>
  <c r="T76" i="69"/>
  <c r="T91" i="69"/>
  <c r="T92" i="69"/>
  <c r="T93" i="69"/>
  <c r="T94" i="69"/>
  <c r="U10" i="69"/>
  <c r="U11" i="69"/>
  <c r="U12" i="69"/>
  <c r="U13" i="69"/>
  <c r="U14" i="69"/>
  <c r="U15" i="69"/>
  <c r="U16" i="69"/>
  <c r="U17" i="69"/>
  <c r="U18" i="69"/>
  <c r="U19" i="69"/>
  <c r="U20" i="69"/>
  <c r="U21" i="69"/>
  <c r="U22" i="69"/>
  <c r="U23" i="69"/>
  <c r="U24" i="69"/>
  <c r="U25" i="69"/>
  <c r="U26" i="69"/>
  <c r="U27" i="69"/>
  <c r="U28" i="69"/>
  <c r="U29" i="69"/>
  <c r="U30" i="69"/>
  <c r="U31" i="69"/>
  <c r="U32" i="69"/>
  <c r="U33" i="69"/>
  <c r="U34" i="69"/>
  <c r="U35" i="69"/>
  <c r="U36" i="69"/>
  <c r="U37" i="69"/>
  <c r="U38" i="69"/>
  <c r="U39" i="69"/>
  <c r="U40" i="69"/>
  <c r="U41" i="69"/>
  <c r="U42" i="69"/>
  <c r="U43" i="69"/>
  <c r="U44" i="69"/>
  <c r="U45" i="69"/>
  <c r="U46" i="69"/>
  <c r="U47" i="69"/>
  <c r="U48" i="69"/>
  <c r="U49" i="69"/>
  <c r="U50" i="69"/>
  <c r="U51" i="69"/>
  <c r="U52" i="69"/>
  <c r="U53" i="69"/>
  <c r="U54" i="69"/>
  <c r="U55" i="69"/>
  <c r="U56" i="69"/>
  <c r="U57" i="69"/>
  <c r="U58" i="69"/>
  <c r="U59" i="69"/>
  <c r="U60" i="69"/>
  <c r="U72" i="69"/>
  <c r="U73" i="69"/>
  <c r="U74" i="69"/>
  <c r="U75" i="69"/>
  <c r="U76" i="69"/>
  <c r="U91" i="69"/>
  <c r="U92" i="69"/>
  <c r="U93" i="69"/>
  <c r="U94" i="69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Q35" i="71"/>
  <c r="Q36" i="71"/>
  <c r="Q37" i="71"/>
  <c r="Q38" i="71"/>
  <c r="Q39" i="71"/>
  <c r="Q40" i="71"/>
  <c r="Q41" i="71"/>
  <c r="Q42" i="71"/>
  <c r="Q43" i="71"/>
  <c r="Q44" i="71"/>
  <c r="Q45" i="71"/>
  <c r="Q46" i="71"/>
  <c r="Q47" i="71"/>
  <c r="Q48" i="71"/>
  <c r="Q49" i="71"/>
  <c r="Q50" i="71"/>
  <c r="Q51" i="71"/>
  <c r="Q52" i="71"/>
  <c r="Q53" i="71"/>
  <c r="Q54" i="71"/>
  <c r="Q55" i="71"/>
  <c r="Q56" i="71"/>
  <c r="Q57" i="71"/>
  <c r="Q58" i="71"/>
  <c r="Q59" i="71"/>
  <c r="Q60" i="71"/>
  <c r="Q61" i="71"/>
  <c r="Q62" i="71"/>
  <c r="Q63" i="71"/>
  <c r="Q64" i="71"/>
  <c r="Q65" i="71"/>
  <c r="Q66" i="71"/>
  <c r="Q67" i="71"/>
  <c r="Q68" i="71"/>
  <c r="Q69" i="71"/>
  <c r="Q70" i="71"/>
  <c r="Q71" i="71"/>
  <c r="Q72" i="71"/>
  <c r="Q84" i="71"/>
  <c r="Q85" i="71"/>
  <c r="Q86" i="71"/>
  <c r="Q87" i="71"/>
  <c r="Q88" i="71"/>
  <c r="Q89" i="71"/>
  <c r="Q90" i="71"/>
  <c r="Q91" i="71"/>
  <c r="Q96" i="71"/>
  <c r="Q99" i="71"/>
  <c r="Q104" i="71"/>
  <c r="Q105" i="71"/>
  <c r="Q106" i="71"/>
  <c r="Q107" i="71"/>
  <c r="Q108" i="71"/>
  <c r="Q109" i="71"/>
  <c r="Q110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R35" i="71"/>
  <c r="R36" i="71"/>
  <c r="R37" i="71"/>
  <c r="R38" i="71"/>
  <c r="R39" i="71"/>
  <c r="R40" i="71"/>
  <c r="R41" i="71"/>
  <c r="R42" i="71"/>
  <c r="R43" i="71"/>
  <c r="R44" i="71"/>
  <c r="R45" i="71"/>
  <c r="R46" i="71"/>
  <c r="R47" i="71"/>
  <c r="R48" i="71"/>
  <c r="R49" i="71"/>
  <c r="R50" i="71"/>
  <c r="R51" i="71"/>
  <c r="R52" i="71"/>
  <c r="R53" i="71"/>
  <c r="R54" i="71"/>
  <c r="R55" i="71"/>
  <c r="R56" i="71"/>
  <c r="R57" i="71"/>
  <c r="R58" i="71"/>
  <c r="R59" i="71"/>
  <c r="R60" i="71"/>
  <c r="R61" i="71"/>
  <c r="R62" i="71"/>
  <c r="R63" i="71"/>
  <c r="R64" i="71"/>
  <c r="R65" i="71"/>
  <c r="R66" i="71"/>
  <c r="R67" i="71"/>
  <c r="R68" i="71"/>
  <c r="R69" i="71"/>
  <c r="R70" i="71"/>
  <c r="R71" i="71"/>
  <c r="R72" i="71"/>
  <c r="R84" i="71"/>
  <c r="R85" i="71"/>
  <c r="R86" i="71"/>
  <c r="R87" i="71"/>
  <c r="R88" i="71"/>
  <c r="R89" i="71"/>
  <c r="R90" i="71"/>
  <c r="R91" i="71"/>
  <c r="R96" i="71"/>
  <c r="R99" i="71"/>
  <c r="R104" i="71"/>
  <c r="R105" i="71"/>
  <c r="R106" i="71"/>
  <c r="R107" i="71"/>
  <c r="R108" i="71"/>
  <c r="R109" i="71"/>
  <c r="R110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S35" i="71"/>
  <c r="S36" i="71"/>
  <c r="S37" i="71"/>
  <c r="S38" i="71"/>
  <c r="S39" i="71"/>
  <c r="S40" i="71"/>
  <c r="S41" i="71"/>
  <c r="S42" i="71"/>
  <c r="S43" i="71"/>
  <c r="S44" i="71"/>
  <c r="S45" i="71"/>
  <c r="S46" i="71"/>
  <c r="S47" i="71"/>
  <c r="S48" i="71"/>
  <c r="S49" i="71"/>
  <c r="S50" i="71"/>
  <c r="S51" i="71"/>
  <c r="S52" i="71"/>
  <c r="S53" i="71"/>
  <c r="S54" i="71"/>
  <c r="S55" i="71"/>
  <c r="S56" i="71"/>
  <c r="S57" i="71"/>
  <c r="S58" i="71"/>
  <c r="S59" i="71"/>
  <c r="S60" i="71"/>
  <c r="S61" i="71"/>
  <c r="S62" i="71"/>
  <c r="S63" i="71"/>
  <c r="S64" i="71"/>
  <c r="S65" i="71"/>
  <c r="S66" i="71"/>
  <c r="S67" i="71"/>
  <c r="S68" i="71"/>
  <c r="S69" i="71"/>
  <c r="S70" i="71"/>
  <c r="S71" i="71"/>
  <c r="S72" i="71"/>
  <c r="S84" i="71"/>
  <c r="S85" i="71"/>
  <c r="S86" i="71"/>
  <c r="S87" i="71"/>
  <c r="S88" i="71"/>
  <c r="S89" i="71"/>
  <c r="S90" i="71"/>
  <c r="S91" i="71"/>
  <c r="S96" i="71"/>
  <c r="S99" i="71"/>
  <c r="S104" i="71"/>
  <c r="S105" i="71"/>
  <c r="S106" i="71"/>
  <c r="S107" i="71"/>
  <c r="S108" i="71"/>
  <c r="S109" i="71"/>
  <c r="S110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T35" i="71"/>
  <c r="T36" i="71"/>
  <c r="T37" i="71"/>
  <c r="T38" i="71"/>
  <c r="T39" i="71"/>
  <c r="T40" i="71"/>
  <c r="T41" i="71"/>
  <c r="T42" i="71"/>
  <c r="T43" i="71"/>
  <c r="T44" i="71"/>
  <c r="T45" i="71"/>
  <c r="T46" i="71"/>
  <c r="T47" i="71"/>
  <c r="T48" i="71"/>
  <c r="T49" i="71"/>
  <c r="T50" i="71"/>
  <c r="T51" i="71"/>
  <c r="T52" i="71"/>
  <c r="T53" i="71"/>
  <c r="T54" i="71"/>
  <c r="T55" i="71"/>
  <c r="T56" i="71"/>
  <c r="T57" i="71"/>
  <c r="T58" i="71"/>
  <c r="T59" i="71"/>
  <c r="T60" i="71"/>
  <c r="T61" i="71"/>
  <c r="T62" i="71"/>
  <c r="T63" i="71"/>
  <c r="T64" i="71"/>
  <c r="T65" i="71"/>
  <c r="T66" i="71"/>
  <c r="T67" i="71"/>
  <c r="T68" i="71"/>
  <c r="T69" i="71"/>
  <c r="T70" i="71"/>
  <c r="T71" i="71"/>
  <c r="T72" i="71"/>
  <c r="T84" i="71"/>
  <c r="T85" i="71"/>
  <c r="T86" i="71"/>
  <c r="T87" i="71"/>
  <c r="T88" i="71"/>
  <c r="T89" i="71"/>
  <c r="T90" i="71"/>
  <c r="T91" i="71"/>
  <c r="T96" i="71"/>
  <c r="T99" i="71"/>
  <c r="T104" i="71"/>
  <c r="T106" i="71"/>
  <c r="T107" i="71"/>
  <c r="T108" i="71"/>
  <c r="T109" i="71"/>
  <c r="U10" i="71"/>
  <c r="U11" i="71"/>
  <c r="U12" i="71"/>
  <c r="U13" i="71"/>
  <c r="U14" i="71"/>
  <c r="U15" i="71"/>
  <c r="U16" i="71"/>
  <c r="U17" i="71"/>
  <c r="U18" i="71"/>
  <c r="U19" i="71"/>
  <c r="U20" i="71"/>
  <c r="U21" i="71"/>
  <c r="U22" i="71"/>
  <c r="U23" i="71"/>
  <c r="U24" i="71"/>
  <c r="U25" i="71"/>
  <c r="U26" i="71"/>
  <c r="U27" i="71"/>
  <c r="U28" i="71"/>
  <c r="U29" i="71"/>
  <c r="U30" i="71"/>
  <c r="U31" i="71"/>
  <c r="U32" i="71"/>
  <c r="U33" i="71"/>
  <c r="U34" i="71"/>
  <c r="U35" i="71"/>
  <c r="U36" i="71"/>
  <c r="U37" i="71"/>
  <c r="U38" i="71"/>
  <c r="U39" i="71"/>
  <c r="U40" i="71"/>
  <c r="U41" i="71"/>
  <c r="U42" i="71"/>
  <c r="U43" i="71"/>
  <c r="U44" i="71"/>
  <c r="U45" i="71"/>
  <c r="U46" i="71"/>
  <c r="U47" i="71"/>
  <c r="U48" i="71"/>
  <c r="U49" i="71"/>
  <c r="U50" i="71"/>
  <c r="U51" i="71"/>
  <c r="U52" i="71"/>
  <c r="U53" i="71"/>
  <c r="U54" i="71"/>
  <c r="U55" i="71"/>
  <c r="U56" i="71"/>
  <c r="U57" i="71"/>
  <c r="U58" i="71"/>
  <c r="U59" i="71"/>
  <c r="U60" i="71"/>
  <c r="U61" i="71"/>
  <c r="U62" i="71"/>
  <c r="U63" i="71"/>
  <c r="U64" i="71"/>
  <c r="U65" i="71"/>
  <c r="U66" i="71"/>
  <c r="U67" i="71"/>
  <c r="U68" i="71"/>
  <c r="U69" i="71"/>
  <c r="U70" i="71"/>
  <c r="U71" i="71"/>
  <c r="U72" i="71"/>
  <c r="U84" i="71"/>
  <c r="U85" i="71"/>
  <c r="U86" i="71"/>
  <c r="U87" i="71"/>
  <c r="U88" i="71"/>
  <c r="U89" i="71"/>
  <c r="U90" i="71"/>
  <c r="U91" i="71"/>
  <c r="U96" i="71"/>
  <c r="U99" i="71"/>
  <c r="U104" i="71"/>
  <c r="U105" i="71"/>
  <c r="U106" i="71"/>
  <c r="U107" i="71"/>
  <c r="U108" i="71"/>
  <c r="U109" i="71"/>
  <c r="U110" i="71"/>
  <c r="G129" i="76"/>
  <c r="G108" i="76"/>
  <c r="G62" i="76"/>
  <c r="G64" i="76" s="1"/>
  <c r="G28" i="76"/>
  <c r="A2" i="76"/>
  <c r="A1" i="76"/>
  <c r="G19" i="76"/>
  <c r="G20" i="76" s="1"/>
  <c r="G14" i="76"/>
  <c r="A24" i="74"/>
  <c r="A23" i="74"/>
  <c r="A5" i="71"/>
  <c r="A5" i="69"/>
  <c r="Q81" i="69"/>
  <c r="Q82" i="69"/>
  <c r="Q83" i="69"/>
  <c r="Q84" i="69"/>
  <c r="E14" i="74"/>
  <c r="F14" i="74"/>
  <c r="G14" i="74"/>
  <c r="H14" i="74"/>
  <c r="I14" i="74"/>
  <c r="J14" i="74"/>
  <c r="B18" i="74"/>
  <c r="R81" i="69"/>
  <c r="R82" i="69"/>
  <c r="R83" i="69"/>
  <c r="R84" i="69"/>
  <c r="S81" i="69"/>
  <c r="S82" i="69"/>
  <c r="S83" i="69"/>
  <c r="S84" i="69"/>
  <c r="T81" i="69"/>
  <c r="T82" i="69"/>
  <c r="T83" i="69"/>
  <c r="T84" i="69"/>
  <c r="U81" i="69"/>
  <c r="U82" i="69"/>
  <c r="U83" i="69"/>
  <c r="U84" i="69"/>
  <c r="C110" i="69"/>
  <c r="C125" i="71"/>
  <c r="D13" i="70"/>
  <c r="D12" i="70"/>
  <c r="D11" i="70"/>
  <c r="D22" i="70"/>
  <c r="D21" i="70"/>
  <c r="D20" i="70"/>
  <c r="U85" i="69"/>
  <c r="T85" i="69"/>
  <c r="S85" i="69"/>
  <c r="R85" i="69"/>
  <c r="Q85" i="69"/>
  <c r="U100" i="71"/>
  <c r="T100" i="71"/>
  <c r="S100" i="71"/>
  <c r="R100" i="71"/>
  <c r="Q100" i="71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111" i="71"/>
  <c r="C110" i="71"/>
  <c r="C96" i="69"/>
  <c r="C95" i="69"/>
  <c r="A2" i="71"/>
  <c r="A1" i="71"/>
  <c r="A2" i="69"/>
  <c r="A1" i="69"/>
  <c r="A1" i="72"/>
  <c r="A2" i="70"/>
  <c r="A1" i="70"/>
  <c r="D5" i="72"/>
  <c r="A11" i="71"/>
  <c r="A10" i="71"/>
  <c r="A12" i="71"/>
  <c r="A13" i="71"/>
  <c r="A14" i="71"/>
  <c r="A82" i="71"/>
  <c r="A84" i="71"/>
  <c r="A96" i="71"/>
  <c r="T105" i="71"/>
  <c r="T110" i="71"/>
  <c r="U120" i="71"/>
  <c r="S12" i="72"/>
  <c r="T119" i="71"/>
  <c r="O12" i="72"/>
  <c r="S118" i="71"/>
  <c r="N12" i="77"/>
  <c r="R117" i="71"/>
  <c r="J12" i="77"/>
  <c r="Q116" i="71"/>
  <c r="Q106" i="69"/>
  <c r="U104" i="69"/>
  <c r="T103" i="69"/>
  <c r="T101" i="69"/>
  <c r="T102" i="69"/>
  <c r="T104" i="69"/>
  <c r="T105" i="69"/>
  <c r="T106" i="69"/>
  <c r="T107" i="69"/>
  <c r="T89" i="69"/>
  <c r="T90" i="69"/>
  <c r="T95" i="69"/>
  <c r="T96" i="69"/>
  <c r="T108" i="69"/>
  <c r="S102" i="69"/>
  <c r="U105" i="69"/>
  <c r="S103" i="69"/>
  <c r="R102" i="69"/>
  <c r="Q101" i="69"/>
  <c r="Q103" i="69"/>
  <c r="T118" i="71"/>
  <c r="Q12" i="77"/>
  <c r="R106" i="69"/>
  <c r="S101" i="69"/>
  <c r="U121" i="71"/>
  <c r="T12" i="72"/>
  <c r="T120" i="71"/>
  <c r="P12" i="72"/>
  <c r="S119" i="71"/>
  <c r="L12" i="72"/>
  <c r="R118" i="71"/>
  <c r="K12" i="77"/>
  <c r="Q117" i="71"/>
  <c r="G12" i="77"/>
  <c r="R103" i="69"/>
  <c r="Q102" i="69"/>
  <c r="U101" i="69"/>
  <c r="U103" i="69"/>
  <c r="T121" i="71"/>
  <c r="Q12" i="72"/>
  <c r="S120" i="71"/>
  <c r="M12" i="72"/>
  <c r="R119" i="71"/>
  <c r="I12" i="72"/>
  <c r="Q118" i="71"/>
  <c r="H12" i="77"/>
  <c r="R116" i="71"/>
  <c r="U106" i="69"/>
  <c r="S104" i="69"/>
  <c r="S121" i="71"/>
  <c r="N12" i="72"/>
  <c r="R120" i="71"/>
  <c r="J12" i="72"/>
  <c r="Q119" i="71"/>
  <c r="F12" i="72"/>
  <c r="U117" i="71"/>
  <c r="S12" i="77"/>
  <c r="S116" i="71"/>
  <c r="L12" i="77"/>
  <c r="S105" i="69"/>
  <c r="R104" i="69"/>
  <c r="S117" i="71"/>
  <c r="Q105" i="69"/>
  <c r="R121" i="71"/>
  <c r="K12" i="72"/>
  <c r="Q120" i="71"/>
  <c r="G12" i="72"/>
  <c r="U118" i="71"/>
  <c r="T12" i="77"/>
  <c r="T117" i="71"/>
  <c r="P12" i="77"/>
  <c r="T116" i="71"/>
  <c r="S106" i="69"/>
  <c r="R105" i="69"/>
  <c r="Q104" i="69"/>
  <c r="U102" i="69"/>
  <c r="R101" i="69"/>
  <c r="Q121" i="71"/>
  <c r="H12" i="72"/>
  <c r="U119" i="71"/>
  <c r="R12" i="72"/>
  <c r="U116" i="71"/>
  <c r="U89" i="69"/>
  <c r="S89" i="69"/>
  <c r="R90" i="69"/>
  <c r="Q89" i="69"/>
  <c r="S90" i="69"/>
  <c r="R89" i="69"/>
  <c r="U90" i="69"/>
  <c r="Q90" i="69"/>
  <c r="J114" i="76"/>
  <c r="J118" i="76" s="1"/>
  <c r="J119" i="76" s="1"/>
  <c r="J128" i="76"/>
  <c r="T97" i="69"/>
  <c r="U111" i="71"/>
  <c r="K93" i="76"/>
  <c r="P93" i="76" s="1"/>
  <c r="K107" i="76"/>
  <c r="U112" i="71"/>
  <c r="S111" i="71"/>
  <c r="I93" i="76"/>
  <c r="I107" i="76"/>
  <c r="S112" i="71"/>
  <c r="R112" i="71"/>
  <c r="R111" i="71"/>
  <c r="H93" i="76"/>
  <c r="M93" i="76" s="1"/>
  <c r="H107" i="76"/>
  <c r="Q111" i="71"/>
  <c r="Q112" i="71"/>
  <c r="E22" i="76"/>
  <c r="E23" i="76" s="1"/>
  <c r="G38" i="76"/>
  <c r="G40" i="76"/>
  <c r="G42" i="76" s="1"/>
  <c r="G43" i="76" s="1"/>
  <c r="T112" i="71"/>
  <c r="T111" i="71"/>
  <c r="J93" i="76"/>
  <c r="J107" i="76"/>
  <c r="W112" i="71"/>
  <c r="W3" i="71"/>
  <c r="S95" i="69"/>
  <c r="R12" i="77"/>
  <c r="U122" i="71"/>
  <c r="U123" i="71"/>
  <c r="F12" i="77"/>
  <c r="Q122" i="71"/>
  <c r="I12" i="77"/>
  <c r="R122" i="71"/>
  <c r="R123" i="71"/>
  <c r="O12" i="77"/>
  <c r="T122" i="71"/>
  <c r="S122" i="71"/>
  <c r="S123" i="71"/>
  <c r="M12" i="77"/>
  <c r="V12" i="77"/>
  <c r="R95" i="69"/>
  <c r="R107" i="69"/>
  <c r="Q107" i="69"/>
  <c r="S107" i="69"/>
  <c r="S96" i="69"/>
  <c r="S108" i="69"/>
  <c r="U107" i="69"/>
  <c r="Q95" i="69"/>
  <c r="U95" i="69"/>
  <c r="G93" i="76"/>
  <c r="G107" i="76" s="1"/>
  <c r="G109" i="76" s="1"/>
  <c r="O114" i="76"/>
  <c r="I114" i="76"/>
  <c r="S97" i="69"/>
  <c r="O93" i="76"/>
  <c r="O107" i="76"/>
  <c r="N93" i="76"/>
  <c r="N107" i="76"/>
  <c r="T123" i="71"/>
  <c r="D125" i="71"/>
  <c r="Q123" i="71"/>
  <c r="Y12" i="77"/>
  <c r="D110" i="69"/>
  <c r="W12" i="77"/>
  <c r="Z12" i="77"/>
  <c r="X12" i="77"/>
  <c r="R97" i="69"/>
  <c r="R96" i="69"/>
  <c r="H114" i="76"/>
  <c r="U97" i="69"/>
  <c r="U96" i="69"/>
  <c r="K114" i="76"/>
  <c r="P114" i="76" s="1"/>
  <c r="Q96" i="69"/>
  <c r="G114" i="76"/>
  <c r="L114" i="76"/>
  <c r="Q97" i="69"/>
  <c r="Z12" i="72"/>
  <c r="V12" i="72"/>
  <c r="X12" i="72"/>
  <c r="Y12" i="72"/>
  <c r="W12" i="72"/>
  <c r="I128" i="76"/>
  <c r="N114" i="76"/>
  <c r="L93" i="76"/>
  <c r="G128" i="76"/>
  <c r="G130" i="76" s="1"/>
  <c r="W123" i="71"/>
  <c r="Q108" i="69"/>
  <c r="R108" i="69"/>
  <c r="U108" i="69"/>
  <c r="AB12" i="77"/>
  <c r="M114" i="76"/>
  <c r="M128" i="76"/>
  <c r="H128" i="76"/>
  <c r="W97" i="69"/>
  <c r="W3" i="69"/>
  <c r="K128" i="76"/>
  <c r="AB12" i="72"/>
  <c r="L128" i="76"/>
  <c r="N128" i="76"/>
  <c r="L107" i="76"/>
  <c r="D6" i="72"/>
  <c r="D7" i="70"/>
  <c r="D6" i="77"/>
  <c r="W108" i="69"/>
  <c r="F13" i="70"/>
  <c r="I21" i="70"/>
  <c r="H20" i="70"/>
  <c r="I12" i="70"/>
  <c r="F11" i="70"/>
  <c r="H22" i="70"/>
  <c r="F20" i="70"/>
  <c r="H13" i="70"/>
  <c r="F22" i="70"/>
  <c r="H21" i="70"/>
  <c r="J12" i="70"/>
  <c r="J11" i="70"/>
  <c r="I11" i="70"/>
  <c r="F12" i="70"/>
  <c r="J22" i="70"/>
  <c r="J21" i="70"/>
  <c r="G11" i="70"/>
  <c r="H11" i="70"/>
  <c r="H12" i="70"/>
  <c r="I20" i="70"/>
  <c r="G12" i="70"/>
  <c r="J20" i="70"/>
  <c r="G20" i="70"/>
  <c r="G13" i="70"/>
  <c r="J13" i="70"/>
  <c r="G22" i="70"/>
  <c r="G21" i="70"/>
  <c r="I13" i="70"/>
  <c r="I22" i="70"/>
  <c r="F21" i="70"/>
  <c r="P97" i="76" l="1"/>
  <c r="P98" i="76" s="1"/>
  <c r="P107" i="76"/>
  <c r="O97" i="76"/>
  <c r="O98" i="76" s="1"/>
  <c r="N97" i="76"/>
  <c r="N98" i="76" s="1"/>
  <c r="G30" i="76"/>
  <c r="G76" i="76"/>
  <c r="G33" i="76"/>
  <c r="G34" i="76" s="1"/>
  <c r="I97" i="76"/>
  <c r="I98" i="76" s="1"/>
  <c r="P128" i="76"/>
  <c r="P118" i="76"/>
  <c r="P119" i="76" s="1"/>
  <c r="N118" i="76"/>
  <c r="N119" i="76" s="1"/>
  <c r="L118" i="76"/>
  <c r="L119" i="76" s="1"/>
  <c r="O118" i="76"/>
  <c r="O119" i="76" s="1"/>
  <c r="M118" i="76"/>
  <c r="M119" i="76" s="1"/>
  <c r="M97" i="76"/>
  <c r="M98" i="76" s="1"/>
  <c r="M107" i="76"/>
  <c r="J97" i="76"/>
  <c r="J98" i="76" s="1"/>
  <c r="L97" i="76"/>
  <c r="L98" i="76" s="1"/>
  <c r="G97" i="76"/>
  <c r="G98" i="76" s="1"/>
  <c r="I118" i="76"/>
  <c r="I119" i="76" s="1"/>
  <c r="G118" i="76"/>
  <c r="G119" i="76" s="1"/>
  <c r="H118" i="76"/>
  <c r="H119" i="76" s="1"/>
  <c r="H97" i="76"/>
  <c r="H98" i="76" s="1"/>
  <c r="K97" i="76"/>
  <c r="K98" i="76" s="1"/>
  <c r="O128" i="76"/>
  <c r="K118" i="76"/>
  <c r="K119" i="76" s="1"/>
  <c r="G75" i="76"/>
  <c r="N115" i="76"/>
  <c r="O115" i="76"/>
  <c r="M115" i="76"/>
  <c r="L115" i="76"/>
  <c r="J94" i="76"/>
  <c r="K94" i="76"/>
  <c r="O94" i="76"/>
  <c r="N94" i="76"/>
  <c r="J23" i="70"/>
  <c r="F23" i="70"/>
  <c r="I23" i="70"/>
  <c r="I14" i="70"/>
  <c r="F14" i="70"/>
  <c r="J14" i="70"/>
  <c r="H14" i="70"/>
  <c r="H23" i="70"/>
  <c r="G14" i="70"/>
  <c r="G23" i="70"/>
  <c r="G99" i="76" l="1"/>
  <c r="G101" i="76" s="1"/>
  <c r="H101" i="76" s="1"/>
  <c r="I101" i="76" s="1"/>
  <c r="J101" i="76" s="1"/>
  <c r="K101" i="76" s="1"/>
  <c r="L101" i="76" s="1"/>
  <c r="M101" i="76" s="1"/>
  <c r="N101" i="76" s="1"/>
  <c r="O101" i="76" s="1"/>
  <c r="P101" i="76" s="1"/>
  <c r="P115" i="76"/>
  <c r="I115" i="76"/>
  <c r="H94" i="76"/>
  <c r="H108" i="76" s="1"/>
  <c r="H109" i="76" s="1"/>
  <c r="I94" i="76"/>
  <c r="H115" i="76"/>
  <c r="H129" i="76" s="1"/>
  <c r="H130" i="76" s="1"/>
  <c r="G120" i="76"/>
  <c r="G122" i="76" s="1"/>
  <c r="H122" i="76" s="1"/>
  <c r="I122" i="76" s="1"/>
  <c r="J122" i="76" s="1"/>
  <c r="K122" i="76" s="1"/>
  <c r="L122" i="76" s="1"/>
  <c r="M122" i="76" s="1"/>
  <c r="N122" i="76" s="1"/>
  <c r="O122" i="76" s="1"/>
  <c r="P122" i="76" s="1"/>
  <c r="L94" i="76"/>
  <c r="G77" i="76"/>
  <c r="G86" i="76" s="1"/>
  <c r="M94" i="76"/>
  <c r="P94" i="76"/>
  <c r="K115" i="76"/>
  <c r="J115" i="76"/>
  <c r="L23" i="70"/>
  <c r="K23" i="70"/>
  <c r="F25" i="70"/>
  <c r="F16" i="70"/>
  <c r="K14" i="70"/>
  <c r="M108" i="76" l="1"/>
  <c r="M109" i="76" s="1"/>
  <c r="L95" i="76"/>
  <c r="L108" i="76" s="1"/>
  <c r="L109" i="76" s="1"/>
  <c r="P116" i="76"/>
  <c r="P129" i="76" s="1"/>
  <c r="P130" i="76" s="1"/>
  <c r="I95" i="76"/>
  <c r="I108" i="76" s="1"/>
  <c r="I109" i="76" s="1"/>
  <c r="P95" i="76"/>
  <c r="P108" i="76" s="1"/>
  <c r="P109" i="76" s="1"/>
  <c r="M95" i="76"/>
  <c r="N95" i="76"/>
  <c r="N108" i="76" s="1"/>
  <c r="N109" i="76" s="1"/>
  <c r="N116" i="76"/>
  <c r="N129" i="76" s="1"/>
  <c r="N130" i="76" s="1"/>
  <c r="J116" i="76"/>
  <c r="J129" i="76" s="1"/>
  <c r="J130" i="76" s="1"/>
  <c r="K116" i="76"/>
  <c r="O116" i="76"/>
  <c r="O129" i="76" s="1"/>
  <c r="O130" i="76" s="1"/>
  <c r="I116" i="76"/>
  <c r="I129" i="76" s="1"/>
  <c r="I130" i="76" s="1"/>
  <c r="L116" i="76"/>
  <c r="L129" i="76" s="1"/>
  <c r="L130" i="76" s="1"/>
  <c r="O95" i="76"/>
  <c r="O108" i="76" s="1"/>
  <c r="O109" i="76" s="1"/>
  <c r="M116" i="76"/>
  <c r="M129" i="76" s="1"/>
  <c r="M130" i="76" s="1"/>
  <c r="K95" i="76"/>
  <c r="J95" i="76"/>
  <c r="J108" i="76" s="1"/>
  <c r="J109" i="76" s="1"/>
  <c r="G123" i="76" l="1"/>
  <c r="K129" i="76"/>
  <c r="K130" i="76" s="1"/>
  <c r="G132" i="76" s="1"/>
  <c r="G102" i="76"/>
  <c r="K108" i="76"/>
  <c r="K109" i="76" s="1"/>
  <c r="G111" i="76" s="1"/>
  <c r="H102" i="76" l="1"/>
  <c r="G103" i="76"/>
  <c r="G124" i="76"/>
  <c r="H123" i="76"/>
  <c r="I123" i="76" l="1"/>
  <c r="H124" i="76"/>
  <c r="H103" i="76"/>
  <c r="I102" i="76"/>
  <c r="J102" i="76" l="1"/>
  <c r="I103" i="76"/>
  <c r="J123" i="76"/>
  <c r="I124" i="76"/>
  <c r="K123" i="76" l="1"/>
  <c r="J124" i="76"/>
  <c r="K102" i="76"/>
  <c r="J103" i="76"/>
  <c r="L102" i="76" l="1"/>
  <c r="K103" i="76"/>
  <c r="L123" i="76"/>
  <c r="K124" i="76"/>
  <c r="M123" i="76" l="1"/>
  <c r="L124" i="76"/>
  <c r="M102" i="76"/>
  <c r="L103" i="76"/>
  <c r="N102" i="76" l="1"/>
  <c r="M103" i="76"/>
  <c r="M124" i="76"/>
  <c r="N123" i="76"/>
  <c r="O123" i="76" l="1"/>
  <c r="N124" i="76"/>
  <c r="O102" i="76"/>
  <c r="N103" i="76"/>
  <c r="P123" i="76" l="1"/>
  <c r="P124" i="76" s="1"/>
  <c r="O124" i="76"/>
  <c r="O103" i="76"/>
  <c r="P102" i="76"/>
  <c r="P103" i="76" s="1"/>
</calcChain>
</file>

<file path=xl/sharedStrings.xml><?xml version="1.0" encoding="utf-8"?>
<sst xmlns="http://schemas.openxmlformats.org/spreadsheetml/2006/main" count="1049" uniqueCount="228">
  <si>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</si>
  <si>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</si>
  <si>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</si>
  <si>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</si>
  <si>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</si>
  <si>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</si>
  <si>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</si>
  <si>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</si>
  <si>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</si>
  <si>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</si>
  <si>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</si>
  <si>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</si>
  <si>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</si>
  <si>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</si>
  <si>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</si>
  <si>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</si>
  <si>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</si>
  <si>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</si>
  <si>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</si>
  <si>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</si>
  <si>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</si>
  <si>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</si>
  <si>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</si>
  <si>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</si>
  <si>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</si>
  <si>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</si>
  <si>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</si>
  <si>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</si>
  <si>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</si>
  <si>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</si>
  <si>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</si>
  <si>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</si>
  <si>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</si>
  <si>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</si>
  <si>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</si>
  <si>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</si>
  <si>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</si>
  <si>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</si>
  <si>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</si>
  <si>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</si>
  <si>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</si>
  <si>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</si>
  <si>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</si>
  <si>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</si>
  <si>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</si>
  <si>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</si>
  <si>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Customer enablement</t>
  </si>
  <si>
    <t>Contact Centre AI / Speech analytics - Project Management</t>
  </si>
  <si>
    <t>Contact Centre AI / Speech analytics - Business Analysis and Process</t>
  </si>
  <si>
    <t>Contact Centre AI / Speech analytics - Tester</t>
  </si>
  <si>
    <t>Contact Centre AI / Speech analytics - Call Centre Integration</t>
  </si>
  <si>
    <t>Embedded Generators - Project Management</t>
  </si>
  <si>
    <t>Embedded Generators - Business Analysis and Process</t>
  </si>
  <si>
    <t>Embedded Generators - Salesforce Development</t>
  </si>
  <si>
    <t>Embedded Generators - Tester</t>
  </si>
  <si>
    <t>Embedded Generators - Environment Build and Managment</t>
  </si>
  <si>
    <t>HV Customer Management - Project Management</t>
  </si>
  <si>
    <t>HV Customer Management - Business Analysis and Process</t>
  </si>
  <si>
    <t>HV Customer Management - Salesforce Development</t>
  </si>
  <si>
    <t>HV Customer Management - Tester</t>
  </si>
  <si>
    <t>HV Customer Management - Environment Build and Managment</t>
  </si>
  <si>
    <t>Track and Trace Capability - Project Management</t>
  </si>
  <si>
    <t>Track and Trace Capability - Business Analysis and Process</t>
  </si>
  <si>
    <t>Track and Trace Capability - Salesforce Development</t>
  </si>
  <si>
    <t>Track and Trace Capability - Integration Development</t>
  </si>
  <si>
    <t>Track and Trace Capability - Market Systems Development</t>
  </si>
  <si>
    <t>Track and Trace Capability - Tester</t>
  </si>
  <si>
    <t>Track and Trace Capability - Environment Build and Managment</t>
  </si>
  <si>
    <t>Unified Customer Gateway - Project Management</t>
  </si>
  <si>
    <t>Unified Customer Gateway - Business Analysis and Process</t>
  </si>
  <si>
    <t>Unified Customer Gateway - Salesforce Development</t>
  </si>
  <si>
    <t>Unified Customer Gateway - Market Systems Development</t>
  </si>
  <si>
    <t>Unified Customer Gateway - OMS/DMS Development</t>
  </si>
  <si>
    <t>Unified Customer Gateway - Tester</t>
  </si>
  <si>
    <t>Unified Customer Gateway - Environment Build and Managment</t>
  </si>
  <si>
    <t>Website AI - Project Management</t>
  </si>
  <si>
    <t>Website AI - Business Analysis and Process</t>
  </si>
  <si>
    <t>Website AI - Tester</t>
  </si>
  <si>
    <t>Website AI - Web/UI Development</t>
  </si>
  <si>
    <t>Energy Health Check - Inverter reset safety reminder - Project Management and Delivery</t>
  </si>
  <si>
    <t>Energy Health Check - Solar Trip Reporting - Project Management and Delivery</t>
  </si>
  <si>
    <t>Energy Health Check - Solar Degradation Advice - Project Management and Delivery</t>
  </si>
  <si>
    <t>Automated SMS capabilities - Project Management</t>
  </si>
  <si>
    <t>Automated SMS capabilities - Business Analysis and Process</t>
  </si>
  <si>
    <t>Automated SMS capabilities - Testing</t>
  </si>
  <si>
    <t>Contact Centre AI / Speech analytics - Speech Analytics</t>
  </si>
  <si>
    <t>Contact Centre AI / Speech analytics - Uplift</t>
  </si>
  <si>
    <t>Track and Trace Capability - Salesforce</t>
  </si>
  <si>
    <t>Unified Customer Gateway - Salesforce</t>
  </si>
  <si>
    <t>Website AI - Virtual Agent</t>
  </si>
  <si>
    <t>On-Device AMI 15-minute data access - Project Management</t>
  </si>
  <si>
    <t>On-Device AMI 15-minute data access - Business Analysis and Process</t>
  </si>
  <si>
    <t>On-Device AMI 15-minute data access - Salesforce Development</t>
  </si>
  <si>
    <t>On-Device AMI 15-minute data access - Integration Development</t>
  </si>
  <si>
    <t>On-Device AMI 15-minute data access - Tester</t>
  </si>
  <si>
    <t>On-Device AMI 15-minute data access - Mobile App development</t>
  </si>
  <si>
    <t>On-Device AMI 15-minute data access - UIQ</t>
  </si>
  <si>
    <t>Output ($, 2020/21)</t>
  </si>
  <si>
    <t>Forecast direct capex ($'000, 2020/21)</t>
  </si>
  <si>
    <t>Summary ($, 2020/21)</t>
  </si>
  <si>
    <t>Total Cost ($, 2020/21)</t>
  </si>
  <si>
    <t>NPV of net economic benefit of option 2</t>
  </si>
  <si>
    <t>Benfit</t>
  </si>
  <si>
    <t>Spend</t>
  </si>
  <si>
    <t>NPV method</t>
  </si>
  <si>
    <t>Net cash flow</t>
  </si>
  <si>
    <t>Benefit stream</t>
  </si>
  <si>
    <t>Capex annuity (equivalised annual capex)</t>
  </si>
  <si>
    <t>Capex</t>
  </si>
  <si>
    <t>Real WACC, reverse index</t>
  </si>
  <si>
    <t>Years of capex</t>
  </si>
  <si>
    <t>$'2021</t>
  </si>
  <si>
    <t>Operating efficiencies</t>
  </si>
  <si>
    <t>Value of customer time saved</t>
  </si>
  <si>
    <t>Total cost</t>
  </si>
  <si>
    <t>Depreciation years</t>
  </si>
  <si>
    <t>Cost benefit analysis</t>
  </si>
  <si>
    <t xml:space="preserve">Total saving in operating expenditure </t>
  </si>
  <si>
    <t>$'2019</t>
  </si>
  <si>
    <t>Average annual salary of administration staff, including overheads</t>
  </si>
  <si>
    <t>number</t>
  </si>
  <si>
    <t>Reduced number of staff required to process manual requests</t>
  </si>
  <si>
    <t>minutes</t>
  </si>
  <si>
    <t>Total time saved from moving to automated application processing</t>
  </si>
  <si>
    <t>Time saved from difference in automated and manual appliction processing, including testing</t>
  </si>
  <si>
    <t>Savings from automated embedded generator applications</t>
  </si>
  <si>
    <t>Resulting reduction in contact centre staff</t>
  </si>
  <si>
    <t>Reduction in the number of calls to the contact centre</t>
  </si>
  <si>
    <t>Average calls per contact centre staff per year</t>
  </si>
  <si>
    <t>Savings from reduced calls to the contact centre</t>
  </si>
  <si>
    <t>Operational benefits</t>
  </si>
  <si>
    <t>Time saved from automated application</t>
  </si>
  <si>
    <t>Time saved from difference in manual or automatic application</t>
  </si>
  <si>
    <t>Number of mintues saved from having to call during an outage</t>
  </si>
  <si>
    <t>Number of calls prevented from speech analytics</t>
  </si>
  <si>
    <t>Average duration of a call to the general enquiries line</t>
  </si>
  <si>
    <t>Annual number of calls to the faults line</t>
  </si>
  <si>
    <t>Time saved from preventing fault calls</t>
  </si>
  <si>
    <t>Time saved from not having to investigate an incorrect SMS notification</t>
  </si>
  <si>
    <t>percentage</t>
  </si>
  <si>
    <t>Share of customers who get incorrect SMS notification</t>
  </si>
  <si>
    <t>Number of customers receiving SMS notifications for outages on average per year</t>
  </si>
  <si>
    <t>Time spent on investigating incorrect SMS notification</t>
  </si>
  <si>
    <t>Time saved on the website</t>
  </si>
  <si>
    <t>Time saved from removing multiple logins and navigation</t>
  </si>
  <si>
    <t>Time saved from having website AI</t>
  </si>
  <si>
    <t>Number of clicks on the website per annum</t>
  </si>
  <si>
    <t>Time spent on website and accessing various portals</t>
  </si>
  <si>
    <t>Total time saved</t>
  </si>
  <si>
    <t>Time saved per customer from not having to log into the portal</t>
  </si>
  <si>
    <t>Number of times customers log into the portal per year</t>
  </si>
  <si>
    <t>Time saved from not having to log into the portal</t>
  </si>
  <si>
    <t>Time spent logging into the online portal, including accessing the portal</t>
  </si>
  <si>
    <t>Time spent on accessing data</t>
  </si>
  <si>
    <t>Per customer time saved</t>
  </si>
  <si>
    <t>Total number of minutes spend on the general enquiries line per customer</t>
  </si>
  <si>
    <t>Total number of minutes customers spend on the general enquiries line</t>
  </si>
  <si>
    <t>Annual number of calls to the general enquiries line</t>
  </si>
  <si>
    <t>Time spent on calls</t>
  </si>
  <si>
    <t>Average value of one minute of time for the average customer</t>
  </si>
  <si>
    <t>Value of one mintue of time for all business customers</t>
  </si>
  <si>
    <t>Average income per business</t>
  </si>
  <si>
    <t>Number of businesses in Victoria, 2017-18, ABS</t>
  </si>
  <si>
    <t>Income from sales of goods and services, ABS, Victoria, Mar 2019</t>
  </si>
  <si>
    <t>Value of time for average commercial customer</t>
  </si>
  <si>
    <t>Value of one minute of one customer's time</t>
  </si>
  <si>
    <t>$'2018</t>
  </si>
  <si>
    <t>Average wage per minute</t>
  </si>
  <si>
    <t>Average weekly earnings, Victoria, ABS, Nov 2018</t>
  </si>
  <si>
    <t>Value of time for average residential customer</t>
  </si>
  <si>
    <t>Customer time value of money and benefits</t>
  </si>
  <si>
    <t>Option</t>
  </si>
  <si>
    <t>Source</t>
  </si>
  <si>
    <t>Average customers 2021 - 2026</t>
  </si>
  <si>
    <t>Residential customers</t>
  </si>
  <si>
    <t>ave #</t>
  </si>
  <si>
    <t>Business and Commercial customers</t>
  </si>
  <si>
    <t>Total customers</t>
  </si>
  <si>
    <t>Customer time saved:</t>
  </si>
  <si>
    <t>2021-26</t>
  </si>
  <si>
    <t>Cash flow</t>
  </si>
  <si>
    <t xml:space="preserve">Number of customers signed up to Energy Easy </t>
  </si>
  <si>
    <t xml:space="preserve">Number of registered users </t>
  </si>
  <si>
    <t>2026/27</t>
  </si>
  <si>
    <t>2027/28</t>
  </si>
  <si>
    <t>2028/29</t>
  </si>
  <si>
    <t>2029/30</t>
  </si>
  <si>
    <t>2030/31</t>
  </si>
  <si>
    <t>VPN</t>
  </si>
  <si>
    <t>myEnergy (align and enhance) - Project Management</t>
  </si>
  <si>
    <t>myEnergy (align and enhance) - Business Analysis and Process</t>
  </si>
  <si>
    <t>myEnergy (align and enhance) - Salesforce Development</t>
  </si>
  <si>
    <t>myEnergy (align and enhance) - Market Systems Development</t>
  </si>
  <si>
    <t>myEnergy (align and enhance) - Tester</t>
  </si>
  <si>
    <t>myEnergy (align and enhance) - Environment Build and Managment</t>
  </si>
  <si>
    <t>Remediate to Salesforce Lightning Framework - Project Management</t>
  </si>
  <si>
    <t>Remediate to Salesforce Lightning Framework - Solution Architecture</t>
  </si>
  <si>
    <t>Remediate to Salesforce Lightning Framework - Business Analysis and Process</t>
  </si>
  <si>
    <t>Remediate to Salesforce Lightning Framework - Technical Lead</t>
  </si>
  <si>
    <t>Remediate to Salesforce Lightning Framework - Salesforce Development</t>
  </si>
  <si>
    <t>Remediate to Salesforce Lightning Framework - Test lead</t>
  </si>
  <si>
    <t>Remediate to Salesforce Lightning Framework - Tester</t>
  </si>
  <si>
    <t>myEnergy (4-hourly data online) - Project Management</t>
  </si>
  <si>
    <t>myEnergy (4-hourly data online) - Business Analysis and Process</t>
  </si>
  <si>
    <t>myEnergy (4-hourly data online) - Salesforce Development</t>
  </si>
  <si>
    <t>myEnergy (4-hourly data online) - Development - Data Analytics</t>
  </si>
  <si>
    <t>myEnergy (4-hourly data online) - Tester</t>
  </si>
  <si>
    <t>myEnergy (4-hourly data online) - Environment Build and Managment</t>
  </si>
  <si>
    <t>myEnergy (4-hourly data online) - Data analytics</t>
  </si>
  <si>
    <t>myEnergy (4-hourly data online) - UIQ</t>
  </si>
  <si>
    <t>Time spent on filling out manual applications for embedded generators</t>
  </si>
  <si>
    <t>Number of embedded generator connections expected per year</t>
  </si>
  <si>
    <t>CP</t>
  </si>
  <si>
    <t>PAL</t>
  </si>
  <si>
    <t>Reduction in calls (%)</t>
  </si>
  <si>
    <t>NPV</t>
  </si>
  <si>
    <t>Dollars</t>
  </si>
  <si>
    <t>CPI</t>
  </si>
  <si>
    <t>Annual CPI - 12 months unlagged</t>
  </si>
  <si>
    <t>Non Recurrent</t>
  </si>
  <si>
    <t>Recurrent</t>
  </si>
  <si>
    <t>VPN - Recurrent</t>
  </si>
  <si>
    <t>VPN - Non Recurrent</t>
  </si>
  <si>
    <t>Australian Bureau of Statistics - 6302 .0 - Average Weekly earnings, Australia Nov 2018</t>
  </si>
  <si>
    <t>Australian Bureau of Statistics - 5676.0 - Business Indicators, Australia, Mar 2019</t>
  </si>
  <si>
    <t xml:space="preserve">Australian Bureau of Statistics - 8165.0 - Counts of Australian Businesses, including Entries and Exits, June 2014 to June 2018 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</si>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</sst>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&quot;$&quot;* #,##0_-;\-&quot;$&quot;* #,##0_-;_-&quot;$&quot;* &quot;-&quot;??_-;_-@_-"/>
    <numFmt numFmtId="175" formatCode="_-* #,##0_-;\-* #,##0_-;_-* &quot;-&quot;??_-;_-@_-"/>
    <numFmt numFmtId="176" formatCode="#,##0.00_ ;[Red]\-#,##0.00\ "/>
    <numFmt numFmtId="177" formatCode="0.000"/>
    <numFmt numFmtId="178" formatCode="0.0000"/>
    <numFmt numFmtId="179" formatCode="_-&quot;$&quot;* #,##0.00000_-;\-&quot;$&quot;* #,##0.00000_-;_-&quot;$&quot;* &quot;-&quot;??_-;_-@_-"/>
    <numFmt numFmtId="180" formatCode="_-&quot;$&quot;* #,##0.000000000_-;\-&quot;$&quot;* #,##0.000000000_-;_-&quot;$&quot;* &quot;-&quot;??_-;_-@_-"/>
    <numFmt numFmtId="181" formatCode="&quot;$&quot;#,##0.0;[Red]\-&quot;$&quot;#,##0.0;\ &quot;-&quot;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theme="10"/>
      <name val="Verdana"/>
      <family val="2"/>
    </font>
    <font>
      <b/>
      <i/>
      <sz val="16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2" fillId="0" borderId="0" applyNumberFormat="0" applyFill="0" applyBorder="0" applyProtection="0">
      <alignment horizontal="center"/>
    </xf>
    <xf numFmtId="0" fontId="53" fillId="0" borderId="0" applyNumberFormat="0" applyFill="0" applyBorder="0" applyAlignment="0" applyProtection="0"/>
    <xf numFmtId="0" fontId="51" fillId="0" borderId="0" applyNumberFormat="0" applyFill="0" applyBorder="0" applyAlignment="0" applyProtection="0"/>
  </cellStyleXfs>
  <cellXfs count="176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167" fontId="45" fillId="2" borderId="1" xfId="0" applyNumberFormat="1" applyFont="1" applyFill="1" applyBorder="1" applyAlignment="1">
      <alignment horizontal="right" vertical="top"/>
    </xf>
    <xf numFmtId="0" fontId="49" fillId="0" borderId="0" xfId="0" applyFont="1" applyFill="1"/>
    <xf numFmtId="175" fontId="0" fillId="0" borderId="0" xfId="27" applyNumberFormat="1" applyFont="1" applyFill="1"/>
    <xf numFmtId="0" fontId="50" fillId="0" borderId="0" xfId="0" applyFont="1" applyFill="1"/>
    <xf numFmtId="0" fontId="13" fillId="0" borderId="3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170" fontId="12" fillId="0" borderId="0" xfId="0" applyNumberFormat="1" applyFont="1"/>
    <xf numFmtId="174" fontId="45" fillId="2" borderId="1" xfId="28" applyNumberFormat="1" applyFont="1" applyFill="1" applyBorder="1" applyAlignment="1">
      <alignment horizontal="right" vertical="top"/>
    </xf>
    <xf numFmtId="44" fontId="12" fillId="0" borderId="0" xfId="28" applyFont="1"/>
    <xf numFmtId="174" fontId="12" fillId="0" borderId="0" xfId="28" applyNumberFormat="1" applyFont="1"/>
    <xf numFmtId="176" fontId="45" fillId="2" borderId="1" xfId="0" applyNumberFormat="1" applyFont="1" applyFill="1" applyBorder="1" applyAlignment="1">
      <alignment horizontal="right" vertical="top"/>
    </xf>
    <xf numFmtId="177" fontId="12" fillId="0" borderId="0" xfId="0" applyNumberFormat="1" applyFont="1"/>
    <xf numFmtId="2" fontId="12" fillId="0" borderId="0" xfId="0" applyNumberFormat="1" applyFont="1"/>
    <xf numFmtId="170" fontId="13" fillId="0" borderId="0" xfId="0" applyNumberFormat="1" applyFont="1"/>
    <xf numFmtId="0" fontId="54" fillId="0" borderId="0" xfId="0" applyFont="1"/>
    <xf numFmtId="0" fontId="55" fillId="0" borderId="0" xfId="30" applyFont="1" applyFill="1"/>
    <xf numFmtId="9" fontId="45" fillId="2" borderId="1" xfId="26" applyFont="1" applyFill="1" applyBorder="1" applyAlignment="1">
      <alignment horizontal="right" vertical="top"/>
    </xf>
    <xf numFmtId="175" fontId="13" fillId="0" borderId="0" xfId="27" applyNumberFormat="1" applyFont="1"/>
    <xf numFmtId="43" fontId="45" fillId="2" borderId="1" xfId="27" applyFont="1" applyFill="1" applyBorder="1" applyAlignment="1">
      <alignment horizontal="right" vertical="top"/>
    </xf>
    <xf numFmtId="175" fontId="13" fillId="0" borderId="0" xfId="0" applyNumberFormat="1" applyFont="1"/>
    <xf numFmtId="170" fontId="28" fillId="2" borderId="1" xfId="0" applyNumberFormat="1" applyFont="1" applyFill="1" applyBorder="1" applyAlignment="1">
      <alignment horizontal="right" vertical="top"/>
    </xf>
    <xf numFmtId="0" fontId="50" fillId="4" borderId="0" xfId="0" applyFont="1" applyFill="1"/>
    <xf numFmtId="0" fontId="12" fillId="4" borderId="0" xfId="0" applyFont="1" applyFill="1"/>
    <xf numFmtId="0" fontId="13" fillId="10" borderId="0" xfId="0" applyFont="1" applyFill="1" applyBorder="1" applyAlignment="1">
      <alignment horizontal="left"/>
    </xf>
    <xf numFmtId="6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6" fontId="12" fillId="0" borderId="0" xfId="0" applyNumberFormat="1" applyFont="1"/>
    <xf numFmtId="6" fontId="12" fillId="0" borderId="3" xfId="0" applyNumberFormat="1" applyFont="1" applyBorder="1" applyAlignment="1">
      <alignment horizontal="center"/>
    </xf>
    <xf numFmtId="179" fontId="12" fillId="0" borderId="0" xfId="0" applyNumberFormat="1" applyFont="1"/>
    <xf numFmtId="180" fontId="12" fillId="0" borderId="0" xfId="0" applyNumberFormat="1" applyFont="1"/>
    <xf numFmtId="6" fontId="12" fillId="0" borderId="0" xfId="0" applyNumberFormat="1" applyFont="1" applyFill="1" applyAlignment="1">
      <alignment horizontal="center"/>
    </xf>
    <xf numFmtId="6" fontId="45" fillId="0" borderId="0" xfId="0" applyNumberFormat="1" applyFont="1" applyAlignment="1">
      <alignment horizontal="center"/>
    </xf>
    <xf numFmtId="170" fontId="45" fillId="2" borderId="0" xfId="0" applyNumberFormat="1" applyFont="1" applyFill="1" applyBorder="1" applyAlignment="1">
      <alignment horizontal="right" vertical="top"/>
    </xf>
    <xf numFmtId="0" fontId="56" fillId="0" borderId="0" xfId="0" applyFont="1"/>
    <xf numFmtId="175" fontId="45" fillId="2" borderId="1" xfId="27" applyNumberFormat="1" applyFont="1" applyFill="1" applyBorder="1" applyAlignment="1">
      <alignment horizontal="right" vertical="top"/>
    </xf>
    <xf numFmtId="175" fontId="13" fillId="2" borderId="0" xfId="27" applyNumberFormat="1" applyFont="1" applyFill="1"/>
    <xf numFmtId="8" fontId="12" fillId="0" borderId="0" xfId="0" applyNumberFormat="1" applyFont="1"/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8" fontId="12" fillId="0" borderId="2" xfId="0" applyNumberFormat="1" applyFont="1" applyFill="1" applyBorder="1" applyAlignment="1">
      <alignment horizontal="right" vertical="top"/>
    </xf>
    <xf numFmtId="0" fontId="57" fillId="3" borderId="0" xfId="0" applyFont="1" applyFill="1"/>
    <xf numFmtId="0" fontId="58" fillId="0" borderId="0" xfId="0" applyFont="1" applyBorder="1"/>
    <xf numFmtId="0" fontId="58" fillId="0" borderId="2" xfId="0" applyFont="1" applyBorder="1"/>
    <xf numFmtId="167" fontId="12" fillId="9" borderId="0" xfId="0" applyNumberFormat="1" applyFont="1" applyFill="1"/>
    <xf numFmtId="167" fontId="12" fillId="9" borderId="0" xfId="0" applyNumberFormat="1" applyFont="1" applyFill="1" applyAlignment="1">
      <alignment horizontal="center"/>
    </xf>
    <xf numFmtId="181" fontId="12" fillId="9" borderId="0" xfId="0" applyNumberFormat="1" applyFont="1" applyFill="1"/>
  </cellXfs>
  <cellStyles count="32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eading" xfId="29"/>
    <cellStyle name="Hyperlink 2" xfId="30"/>
    <cellStyle name="Hyperlink 2 2" xfId="3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FFCC"/>
      <color rgb="FFFF66CC"/>
      <color rgb="FF0000FF"/>
      <color rgb="FFFFCCFF"/>
      <color rgb="FFD6E5F2"/>
      <color rgb="FFEBF2F9"/>
      <color rgb="FFE5EEF7"/>
      <color rgb="FFFF6600"/>
      <color rgb="FF0033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USSTATS/abs@.nsf/DetailsPage/8165.0June%202014%20to%20June%202018?OpenDocument" TargetMode="External"/><Relationship Id="rId2" Type="http://schemas.openxmlformats.org/officeDocument/2006/relationships/hyperlink" Target="https://www.inc.com/jim-belosic/how-to-calculate-the-value-of-your-and-your-employees-time.html" TargetMode="External"/><Relationship Id="rId1" Type="http://schemas.openxmlformats.org/officeDocument/2006/relationships/hyperlink" Target="https://www.abs.gov.au/ausstats/abs@.nsf/mf/6302.0?opendocument&amp;ref=HPKI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s://www.abs.gov.au/AUSSTATS/abs@.nsf/DetailsPage/5676.0Mar%202019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D17" sqref="D17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Customer enablement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0" t="s">
        <v>222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97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98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 t="s">
        <v>219</v>
      </c>
      <c r="F12" s="78">
        <f>IF($D$5="Option 2",INDEX('Option 2'!$Q$116:$U$121,MATCH(F$11&amp;$E$12,'Option 2'!$H$116:$H$121,0),MATCH(F$10,'Option 2'!$Q$8:$U$8,0)))/1000</f>
        <v>1430.4614359103739</v>
      </c>
      <c r="G12" s="78">
        <f>IF($D$5="Option 2",INDEX('Option 2'!$Q$116:$U$121,MATCH(G$11&amp;$E$12,'Option 2'!$H$116:$H$121,0),MATCH(G$10,'Option 2'!$Q$8:$U$8,0)))/1000</f>
        <v>170.50595697968504</v>
      </c>
      <c r="H12" s="78">
        <f>IF($D$5="Option 2",INDEX('Option 2'!$Q$116:$U$121,MATCH(H$11&amp;$E$12,'Option 2'!$H$116:$H$121,0),MATCH(H$10,'Option 2'!$Q$8:$U$8,0)))/1000</f>
        <v>0</v>
      </c>
      <c r="I12" s="78">
        <f>IF($D$5="Option 2",INDEX('Option 2'!$Q$116:$U$121,MATCH(I$11&amp;$E$12,'Option 2'!$H$116:$H$121,0),MATCH(I$10,'Option 2'!$Q$8:$U$8,0)))/1000</f>
        <v>421.24608667202796</v>
      </c>
      <c r="J12" s="78">
        <f>IF($D$5="Option 2",INDEX('Option 2'!$Q$116:$U$121,MATCH(J$11&amp;$E$12,'Option 2'!$H$116:$H$121,0),MATCH(J$10,'Option 2'!$Q$8:$U$8,0)))/1000</f>
        <v>0</v>
      </c>
      <c r="K12" s="78">
        <f>IF($D$5="Option 2",INDEX('Option 2'!$Q$116:$U$121,MATCH(K$11&amp;$E$12,'Option 2'!$H$116:$H$121,0),MATCH(K$10,'Option 2'!$Q$8:$U$8,0)))/1000</f>
        <v>0</v>
      </c>
      <c r="L12" s="78">
        <f>IF($D$5="Option 2",INDEX('Option 2'!$Q$116:$U$121,MATCH(L$11&amp;$E$12,'Option 2'!$H$116:$H$121,0),MATCH(L$10,'Option 2'!$Q$8:$U$8,0)))/1000</f>
        <v>2027.2872343217566</v>
      </c>
      <c r="M12" s="78">
        <f>IF($D$5="Option 2",INDEX('Option 2'!$Q$116:$U$121,MATCH(M$11&amp;$E$12,'Option 2'!$H$116:$H$121,0),MATCH(M$10,'Option 2'!$Q$8:$U$8,0)))/1000</f>
        <v>222.39907432132827</v>
      </c>
      <c r="N12" s="78">
        <f>IF($D$5="Option 2",INDEX('Option 2'!$Q$116:$U$121,MATCH(N$11&amp;$E$12,'Option 2'!$H$116:$H$121,0),MATCH(N$10,'Option 2'!$Q$8:$U$8,0)))/1000</f>
        <v>0</v>
      </c>
      <c r="O12" s="78">
        <f>IF($D$5="Option 2",INDEX('Option 2'!$Q$116:$U$121,MATCH(O$11&amp;$E$12,'Option 2'!$H$116:$H$121,0),MATCH(O$10,'Option 2'!$Q$8:$U$8,0)))/1000</f>
        <v>1945.4705265480086</v>
      </c>
      <c r="P12" s="78">
        <f>IF($D$5="Option 2",INDEX('Option 2'!$Q$116:$U$121,MATCH(P$11&amp;$E$12,'Option 2'!$H$116:$H$121,0),MATCH(P$10,'Option 2'!$Q$8:$U$8,0)))/1000</f>
        <v>92.666280967220132</v>
      </c>
      <c r="Q12" s="78">
        <f>IF($D$5="Option 2",INDEX('Option 2'!$Q$116:$U$121,MATCH(Q$11&amp;$E$12,'Option 2'!$H$116:$H$121,0),MATCH(Q$10,'Option 2'!$Q$8:$U$8,0)))/1000</f>
        <v>0</v>
      </c>
      <c r="R12" s="78">
        <f>IF($D$5="Option 2",INDEX('Option 2'!$Q$116:$U$121,MATCH(R$11&amp;$E$12,'Option 2'!$H$116:$H$121,0),MATCH(R$10,'Option 2'!$Q$8:$U$8,0)))/1000</f>
        <v>0</v>
      </c>
      <c r="S12" s="78">
        <f>IF($D$5="Option 2",INDEX('Option 2'!$Q$116:$U$121,MATCH(S$11&amp;$E$12,'Option 2'!$H$116:$H$121,0),MATCH(S$10,'Option 2'!$Q$8:$U$8,0)))/1000</f>
        <v>0</v>
      </c>
      <c r="T12" s="78">
        <f>IF($D$5="Option 2",INDEX('Option 2'!$Q$116:$U$121,MATCH(T$11&amp;$E$12,'Option 2'!$H$116:$H$121,0),MATCH(T$10,'Option 2'!$Q$8:$U$8,0)))/1000</f>
        <v>0</v>
      </c>
      <c r="U12" s="67"/>
      <c r="V12" s="78">
        <f>SUMIF($F$10:$T$10,V$10,$F12:$T12)</f>
        <v>1600.9673928900588</v>
      </c>
      <c r="W12" s="78">
        <f>SUMIF($F$10:$T$10,W$10,$F12:$T12)</f>
        <v>421.24608667202796</v>
      </c>
      <c r="X12" s="78">
        <f>SUMIF($F$10:$T$10,X$10,$F12:$T12)</f>
        <v>2249.6863086430849</v>
      </c>
      <c r="Y12" s="78">
        <f>SUMIF($F$10:$T$10,Y$10,$F12:$T12)</f>
        <v>2038.1368075152286</v>
      </c>
      <c r="Z12" s="78">
        <f>SUMIF($F$10:$T$10,Z$10,$F12:$T12)</f>
        <v>0</v>
      </c>
      <c r="AA12" s="67"/>
      <c r="AB12" s="78">
        <f>SUM(V12:Z12)</f>
        <v>6310.0365957204003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13"/>
  <sheetViews>
    <sheetView showGridLines="0" zoomScale="80" zoomScaleNormal="80" workbookViewId="0">
      <selection activeCell="V12" sqref="V12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Customer enablement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0" t="s">
        <v>221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97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98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 t="s">
        <v>220</v>
      </c>
      <c r="F12" s="78">
        <f>IF($D$5="Option 2",INDEX('Option 2'!$Q$116:$U$121,MATCH(F$11&amp;$E$12,'Option 2'!$H$116:$H$121,0),MATCH(F$10,'Option 2'!$Q$8:$U$8,0)))/1000</f>
        <v>489.18900387719373</v>
      </c>
      <c r="G12" s="78">
        <f>IF($D$5="Option 2",INDEX('Option 2'!$Q$116:$U$121,MATCH(G$11&amp;$E$12,'Option 2'!$H$116:$H$121,0),MATCH(G$10,'Option 2'!$Q$8:$U$8,0)))/1000</f>
        <v>0</v>
      </c>
      <c r="H12" s="78">
        <f>IF($D$5="Option 2",INDEX('Option 2'!$Q$116:$U$121,MATCH(H$11&amp;$E$12,'Option 2'!$H$116:$H$121,0),MATCH(H$10,'Option 2'!$Q$8:$U$8,0)))/1000</f>
        <v>0</v>
      </c>
      <c r="I12" s="78">
        <f>IF($D$5="Option 2",INDEX('Option 2'!$Q$116:$U$121,MATCH(I$11&amp;$E$12,'Option 2'!$H$116:$H$121,0),MATCH(I$10,'Option 2'!$Q$8:$U$8,0)))/1000</f>
        <v>1120.0875207823046</v>
      </c>
      <c r="J12" s="78">
        <f>IF($D$5="Option 2",INDEX('Option 2'!$Q$116:$U$121,MATCH(J$11&amp;$E$12,'Option 2'!$H$116:$H$121,0),MATCH(J$10,'Option 2'!$Q$8:$U$8,0)))/1000</f>
        <v>0</v>
      </c>
      <c r="K12" s="78">
        <f>IF($D$5="Option 2",INDEX('Option 2'!$Q$116:$U$121,MATCH(K$11&amp;$E$12,'Option 2'!$H$116:$H$121,0),MATCH(K$10,'Option 2'!$Q$8:$U$8,0)))/1000</f>
        <v>0</v>
      </c>
      <c r="L12" s="78">
        <f>IF($D$5="Option 2",INDEX('Option 2'!$Q$116:$U$121,MATCH(L$11&amp;$E$12,'Option 2'!$H$116:$H$121,0),MATCH(L$10,'Option 2'!$Q$8:$U$8,0)))/1000</f>
        <v>2661.4211282366373</v>
      </c>
      <c r="M12" s="78">
        <f>IF($D$5="Option 2",INDEX('Option 2'!$Q$116:$U$121,MATCH(M$11&amp;$E$12,'Option 2'!$H$116:$H$121,0),MATCH(M$10,'Option 2'!$Q$8:$U$8,0)))/1000</f>
        <v>0</v>
      </c>
      <c r="N12" s="78">
        <f>IF($D$5="Option 2",INDEX('Option 2'!$Q$116:$U$121,MATCH(N$11&amp;$E$12,'Option 2'!$H$116:$H$121,0),MATCH(N$10,'Option 2'!$Q$8:$U$8,0)))/1000</f>
        <v>0</v>
      </c>
      <c r="O12" s="78">
        <f>IF($D$5="Option 2",INDEX('Option 2'!$Q$116:$U$121,MATCH(O$11&amp;$E$12,'Option 2'!$H$116:$H$121,0),MATCH(O$10,'Option 2'!$Q$8:$U$8,0)))/1000</f>
        <v>490.15961698012467</v>
      </c>
      <c r="P12" s="78">
        <f>IF($D$5="Option 2",INDEX('Option 2'!$Q$116:$U$121,MATCH(P$11&amp;$E$12,'Option 2'!$H$116:$H$121,0),MATCH(P$10,'Option 2'!$Q$8:$U$8,0)))/1000</f>
        <v>0</v>
      </c>
      <c r="Q12" s="78">
        <f>IF($D$5="Option 2",INDEX('Option 2'!$Q$116:$U$121,MATCH(Q$11&amp;$E$12,'Option 2'!$H$116:$H$121,0),MATCH(Q$10,'Option 2'!$Q$8:$U$8,0)))/1000</f>
        <v>0</v>
      </c>
      <c r="R12" s="78">
        <f>IF($D$5="Option 2",INDEX('Option 2'!$Q$116:$U$121,MATCH(R$11&amp;$E$12,'Option 2'!$H$116:$H$121,0),MATCH(R$10,'Option 2'!$Q$8:$U$8,0)))/1000</f>
        <v>489.18900387719373</v>
      </c>
      <c r="S12" s="78">
        <f>IF($D$5="Option 2",INDEX('Option 2'!$Q$116:$U$121,MATCH(S$11&amp;$E$12,'Option 2'!$H$116:$H$121,0),MATCH(S$10,'Option 2'!$Q$8:$U$8,0)))/1000</f>
        <v>0</v>
      </c>
      <c r="T12" s="78">
        <f>IF($D$5="Option 2",INDEX('Option 2'!$Q$116:$U$121,MATCH(T$11&amp;$E$12,'Option 2'!$H$116:$H$121,0),MATCH(T$10,'Option 2'!$Q$8:$U$8,0)))/1000</f>
        <v>0</v>
      </c>
      <c r="U12" s="67"/>
      <c r="V12" s="78">
        <f>SUMIF($F$10:$T$10,V$10,$F12:$T12)</f>
        <v>489.18900387719373</v>
      </c>
      <c r="W12" s="78">
        <f>SUMIF($F$10:$T$10,W$10,$F12:$T12)</f>
        <v>1120.0875207823046</v>
      </c>
      <c r="X12" s="78">
        <f>SUMIF($F$10:$T$10,X$10,$F12:$T12)</f>
        <v>2661.4211282366373</v>
      </c>
      <c r="Y12" s="78">
        <f>SUMIF($F$10:$T$10,Y$10,$F12:$T12)</f>
        <v>490.15961698012467</v>
      </c>
      <c r="Z12" s="78">
        <f>SUMIF($F$10:$T$10,Z$10,$F12:$T12)</f>
        <v>489.18900387719373</v>
      </c>
      <c r="AA12" s="67"/>
      <c r="AB12" s="78">
        <f>SUM(V12:Z12)</f>
        <v>5250.0462737534544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8"/>
  <sheetViews>
    <sheetView showGridLines="0" zoomScale="85" zoomScaleNormal="85" workbookViewId="0">
      <selection activeCell="F23" sqref="F23:J23"/>
    </sheetView>
  </sheetViews>
  <sheetFormatPr defaultColWidth="9.140625" defaultRowHeight="12.75" x14ac:dyDescent="0.2"/>
  <cols>
    <col min="1" max="1" width="4.28515625" style="1" customWidth="1"/>
    <col min="2" max="2" width="8.855468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7.5703125" style="1" bestFit="1" customWidth="1"/>
    <col min="13" max="16384" width="9.140625" style="1"/>
  </cols>
  <sheetData>
    <row r="1" spans="1:17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99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21</v>
      </c>
      <c r="D6" s="43" t="s">
        <v>20</v>
      </c>
      <c r="E6" s="3"/>
      <c r="O6"/>
    </row>
    <row r="7" spans="1:17" ht="12.75" customHeight="1" x14ac:dyDescent="0.25">
      <c r="B7" s="118" t="s">
        <v>39</v>
      </c>
      <c r="D7" s="117" t="b">
        <f>Output_NR!D6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28</v>
      </c>
      <c r="C10" s="82" t="s">
        <v>8</v>
      </c>
      <c r="D10" s="82"/>
      <c r="E10" s="83"/>
      <c r="F10" s="84" t="s">
        <v>15</v>
      </c>
      <c r="G10" s="84" t="s">
        <v>16</v>
      </c>
      <c r="H10" s="84" t="s">
        <v>17</v>
      </c>
      <c r="I10" s="84" t="s">
        <v>18</v>
      </c>
      <c r="J10" s="84" t="s">
        <v>19</v>
      </c>
      <c r="O10"/>
    </row>
    <row r="11" spans="1:17" ht="12.75" customHeight="1" x14ac:dyDescent="0.25">
      <c r="C11" s="1" t="s">
        <v>1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1919650.4397875676</v>
      </c>
      <c r="G11" s="9">
        <f t="shared" ca="1" si="0"/>
        <v>1541333.6074543325</v>
      </c>
      <c r="H11" s="9">
        <f t="shared" ca="1" si="0"/>
        <v>4308228.0262094652</v>
      </c>
      <c r="I11" s="9">
        <f t="shared" ca="1" si="0"/>
        <v>1067674.413224034</v>
      </c>
      <c r="J11" s="9">
        <f t="shared" ca="1" si="0"/>
        <v>489189.00387719373</v>
      </c>
      <c r="O11"/>
    </row>
    <row r="12" spans="1:17" ht="12.75" customHeight="1" x14ac:dyDescent="0.25">
      <c r="C12" s="1" t="s">
        <v>0</v>
      </c>
      <c r="D12" s="120" t="str">
        <f>B10&amp;C12</f>
        <v>Option 1Materials</v>
      </c>
      <c r="E12" s="3"/>
      <c r="F12" s="9">
        <f t="shared" ca="1" si="0"/>
        <v>170505.95697968503</v>
      </c>
      <c r="G12" s="9">
        <f t="shared" ca="1" si="0"/>
        <v>0</v>
      </c>
      <c r="H12" s="9">
        <f t="shared" ca="1" si="0"/>
        <v>0</v>
      </c>
      <c r="I12" s="9">
        <f t="shared" ca="1" si="0"/>
        <v>18533.256193444024</v>
      </c>
      <c r="J12" s="9">
        <f t="shared" ca="1" si="0"/>
        <v>0</v>
      </c>
      <c r="O12"/>
    </row>
    <row r="13" spans="1:17" ht="12.75" customHeight="1" x14ac:dyDescent="0.2">
      <c r="C13" s="1" t="s">
        <v>3</v>
      </c>
      <c r="D13" s="120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100</v>
      </c>
      <c r="D14" s="25"/>
      <c r="E14" s="25"/>
      <c r="F14" s="26">
        <f ca="1">SUM(F11:F13)</f>
        <v>2090156.3967672526</v>
      </c>
      <c r="G14" s="26">
        <f ca="1">SUM(G11:G13)</f>
        <v>1541333.6074543325</v>
      </c>
      <c r="H14" s="26">
        <f ca="1">SUM(H11:H13)</f>
        <v>4308228.0262094652</v>
      </c>
      <c r="I14" s="26">
        <f ca="1">SUM(I11:I13)</f>
        <v>1086207.6694174781</v>
      </c>
      <c r="J14" s="26">
        <f ca="1">SUM(J11:J13)</f>
        <v>489189.00387719373</v>
      </c>
      <c r="K14" s="173">
        <f ca="1">SUM(F14:J14)-SUM('Option 1'!Q107:U107)</f>
        <v>0</v>
      </c>
      <c r="L14" s="174" t="str">
        <f>IF($D$6=$B10,(SUM(F14:J14)/1000-(Output_NR!$AB$12+Output_R!$AB$12)),"-")</f>
        <v>-</v>
      </c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61" t="s">
        <v>215</v>
      </c>
      <c r="D16" s="26"/>
      <c r="E16" s="26"/>
      <c r="F16" s="26">
        <f ca="1">NPV(Assumptions!$B$6,F14:J14)</f>
        <v>8867281.7218951583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20</v>
      </c>
      <c r="C19" s="82" t="s">
        <v>8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1</v>
      </c>
      <c r="D20" s="120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1919650.4397875676</v>
      </c>
      <c r="G20" s="9">
        <f t="shared" ca="1" si="2"/>
        <v>1541333.6074543325</v>
      </c>
      <c r="H20" s="9">
        <f t="shared" ca="1" si="2"/>
        <v>4688708.3625583937</v>
      </c>
      <c r="I20" s="9">
        <f t="shared" ca="1" si="2"/>
        <v>2435630.1435281332</v>
      </c>
      <c r="J20" s="9">
        <f t="shared" ca="1" si="2"/>
        <v>489189.00387719373</v>
      </c>
    </row>
    <row r="21" spans="2:12" x14ac:dyDescent="0.2">
      <c r="C21" s="1" t="s">
        <v>0</v>
      </c>
      <c r="D21" s="120" t="str">
        <f>B19&amp;C21</f>
        <v>Option 2Materials</v>
      </c>
      <c r="E21" s="3"/>
      <c r="F21" s="9">
        <f t="shared" ca="1" si="2"/>
        <v>170505.95697968503</v>
      </c>
      <c r="G21" s="9">
        <f t="shared" ca="1" si="2"/>
        <v>0</v>
      </c>
      <c r="H21" s="9">
        <f t="shared" ca="1" si="2"/>
        <v>222399.07432132828</v>
      </c>
      <c r="I21" s="9">
        <f t="shared" ca="1" si="2"/>
        <v>92666.280967220126</v>
      </c>
      <c r="J21" s="9">
        <f t="shared" ca="1" si="2"/>
        <v>0</v>
      </c>
    </row>
    <row r="22" spans="2:12" x14ac:dyDescent="0.2">
      <c r="C22" s="1" t="s">
        <v>3</v>
      </c>
      <c r="D22" s="120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0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100</v>
      </c>
      <c r="D23" s="25"/>
      <c r="E23" s="25"/>
      <c r="F23" s="26">
        <f ca="1">SUM(F20:F22)</f>
        <v>2090156.3967672526</v>
      </c>
      <c r="G23" s="26">
        <f ca="1">SUM(G20:G22)</f>
        <v>1541333.6074543325</v>
      </c>
      <c r="H23" s="26">
        <f ca="1">SUM(H20:H22)</f>
        <v>4911107.4368797224</v>
      </c>
      <c r="I23" s="26">
        <f ca="1">SUM(I20:I22)</f>
        <v>2528296.4244953534</v>
      </c>
      <c r="J23" s="26">
        <f ca="1">SUM(J20:J22)</f>
        <v>489189.00387719373</v>
      </c>
      <c r="K23" s="173">
        <f ca="1">SUM(F23:J23)-SUM('Option 2'!Q122:U122)</f>
        <v>0</v>
      </c>
      <c r="L23" s="175">
        <f ca="1">IF($D$6=$B19,(SUM(F23:J23)/1000-(Output_NR!$AB$12+Output_R!$AB$12)),"-")</f>
        <v>-1.8189894035458565E-12</v>
      </c>
    </row>
    <row r="24" spans="2:12" x14ac:dyDescent="0.2">
      <c r="B24" s="100"/>
    </row>
    <row r="25" spans="2:12" x14ac:dyDescent="0.2">
      <c r="C25" s="161" t="s">
        <v>215</v>
      </c>
      <c r="D25" s="26"/>
      <c r="E25" s="26"/>
      <c r="F25" s="26">
        <f ca="1">NPV(Assumptions!$B$6,F23:J23)</f>
        <v>10716831.362304211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32"/>
      <c r="C28" s="41"/>
      <c r="D28" s="41"/>
      <c r="E28" s="32"/>
      <c r="F28" s="32"/>
      <c r="G28" s="32"/>
      <c r="H28" s="32"/>
      <c r="I28" s="32"/>
      <c r="J28" s="32"/>
    </row>
  </sheetData>
  <conditionalFormatting sqref="D7">
    <cfRule type="expression" dxfId="1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>
      <selection activeCell="A25" sqref="A25"/>
    </sheetView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46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188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7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13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34</v>
      </c>
      <c r="B8" s="107">
        <v>2018</v>
      </c>
      <c r="C8" t="s">
        <v>37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35</v>
      </c>
    </row>
    <row r="11" spans="1:35" ht="12.75" customHeight="1" x14ac:dyDescent="0.25">
      <c r="A11" s="164" t="s">
        <v>216</v>
      </c>
      <c r="B11" s="28"/>
      <c r="C11" s="103"/>
      <c r="D11" s="165" t="s">
        <v>226</v>
      </c>
      <c r="E11" s="165" t="s">
        <v>226</v>
      </c>
      <c r="F11" s="165" t="s">
        <v>226</v>
      </c>
      <c r="G11" s="165" t="s">
        <v>226</v>
      </c>
      <c r="H11" s="165" t="s">
        <v>226</v>
      </c>
      <c r="I11" s="165" t="s">
        <v>226</v>
      </c>
      <c r="J11" s="165" t="s">
        <v>227</v>
      </c>
    </row>
    <row r="12" spans="1:35" ht="12.75" customHeight="1" x14ac:dyDescent="0.25">
      <c r="A12" s="166" t="s">
        <v>217</v>
      </c>
      <c r="B12" s="4"/>
      <c r="C12" s="166"/>
      <c r="D12" s="167" t="s">
        <v>29</v>
      </c>
      <c r="E12" s="167" t="s">
        <v>29</v>
      </c>
      <c r="F12" s="167" t="s">
        <v>29</v>
      </c>
      <c r="G12" s="167" t="s">
        <v>29</v>
      </c>
      <c r="H12" s="167" t="s">
        <v>29</v>
      </c>
      <c r="I12" s="168" t="s">
        <v>30</v>
      </c>
      <c r="J12" s="168" t="s">
        <v>30</v>
      </c>
    </row>
    <row r="13" spans="1:35" ht="12.75" customHeight="1" x14ac:dyDescent="0.25">
      <c r="A13" s="100" t="s">
        <v>218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31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36</v>
      </c>
      <c r="B16" s="98">
        <v>2018</v>
      </c>
      <c r="C16" s="100" t="s">
        <v>37</v>
      </c>
      <c r="G16" s="89"/>
      <c r="H16" s="89"/>
    </row>
    <row r="17" spans="1:8" ht="12.75" customHeight="1" x14ac:dyDescent="0.25">
      <c r="A17" s="99" t="s">
        <v>33</v>
      </c>
      <c r="B17" s="104" t="s">
        <v>35</v>
      </c>
      <c r="C17" s="100" t="s">
        <v>38</v>
      </c>
      <c r="G17" s="89"/>
      <c r="H17" s="89"/>
    </row>
    <row r="18" spans="1:8" ht="12.75" customHeight="1" x14ac:dyDescent="0.25">
      <c r="A18" s="99" t="s">
        <v>32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7" t="s">
        <v>171</v>
      </c>
    </row>
    <row r="23" spans="1:8" ht="12.75" customHeight="1" x14ac:dyDescent="0.25">
      <c r="A23" s="99" t="str">
        <f>'Option 1'!$A$3</f>
        <v>Option 1</v>
      </c>
      <c r="B23" s="99"/>
    </row>
    <row r="24" spans="1:8" ht="12.75" customHeight="1" x14ac:dyDescent="0.25">
      <c r="A24" s="99" t="str">
        <f>'Option 2'!$A$3</f>
        <v>Option 2</v>
      </c>
      <c r="B24" s="99"/>
    </row>
    <row r="25" spans="1:8" ht="12.75" customHeight="1" x14ac:dyDescent="0.25">
      <c r="A25" s="99"/>
      <c r="B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115"/>
  <sheetViews>
    <sheetView showGridLines="0" zoomScale="90" zoomScaleNormal="90" workbookViewId="0">
      <selection activeCell="H1" sqref="H1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13.28515625" style="100" bestFit="1" customWidth="1"/>
    <col min="7" max="7" width="2.85546875" style="1" customWidth="1"/>
    <col min="8" max="8" width="12.140625" style="1" customWidth="1"/>
    <col min="9" max="9" width="10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3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SUM(W7:W97)=0</f>
        <v>1</v>
      </c>
    </row>
    <row r="4" spans="1:23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3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3" ht="12.75" customHeight="1" x14ac:dyDescent="0.2">
      <c r="A6" s="7"/>
      <c r="G6" s="20"/>
    </row>
    <row r="7" spans="1:23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3" t="s">
        <v>8</v>
      </c>
      <c r="G7" s="20"/>
      <c r="H7" s="23" t="s">
        <v>14</v>
      </c>
      <c r="I7" s="23" t="s">
        <v>9</v>
      </c>
      <c r="J7" s="100"/>
      <c r="K7" s="23" t="s">
        <v>44</v>
      </c>
      <c r="L7" s="24"/>
      <c r="M7" s="24"/>
      <c r="N7" s="24"/>
      <c r="O7" s="24"/>
      <c r="P7" s="4"/>
      <c r="Q7" s="23" t="s">
        <v>10</v>
      </c>
      <c r="R7" s="24"/>
      <c r="S7" s="24"/>
      <c r="T7" s="24"/>
      <c r="U7" s="24"/>
    </row>
    <row r="8" spans="1:23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15</v>
      </c>
      <c r="L8" s="122" t="s">
        <v>16</v>
      </c>
      <c r="M8" s="122" t="s">
        <v>17</v>
      </c>
      <c r="N8" s="122" t="s">
        <v>18</v>
      </c>
      <c r="O8" s="122" t="s">
        <v>19</v>
      </c>
      <c r="P8" s="4"/>
      <c r="Q8" s="122" t="s">
        <v>15</v>
      </c>
      <c r="R8" s="122" t="s">
        <v>16</v>
      </c>
      <c r="S8" s="122" t="s">
        <v>17</v>
      </c>
      <c r="T8" s="122" t="s">
        <v>18</v>
      </c>
      <c r="U8" s="122" t="s">
        <v>19</v>
      </c>
    </row>
    <row r="9" spans="1:23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3" ht="12.75" customHeight="1" x14ac:dyDescent="0.2">
      <c r="A10" s="7"/>
      <c r="C10" s="108" t="s">
        <v>47</v>
      </c>
      <c r="D10" s="109" t="s">
        <v>4</v>
      </c>
      <c r="E10" s="109" t="s">
        <v>1</v>
      </c>
      <c r="F10" s="110" t="s">
        <v>219</v>
      </c>
      <c r="G10" s="3"/>
      <c r="H10" s="111">
        <v>122.2</v>
      </c>
      <c r="I10" s="12" t="s">
        <v>41</v>
      </c>
      <c r="J10" s="3"/>
      <c r="K10" s="112">
        <v>210</v>
      </c>
      <c r="L10" s="112"/>
      <c r="M10" s="112"/>
      <c r="N10" s="112"/>
      <c r="O10" s="112"/>
      <c r="P10" s="3"/>
      <c r="Q10" s="8">
        <f t="shared" ref="Q10" si="0">K10*$H10</f>
        <v>25662</v>
      </c>
      <c r="R10" s="8">
        <f t="shared" ref="R10" si="1">L10*$H10</f>
        <v>0</v>
      </c>
      <c r="S10" s="8">
        <f t="shared" ref="S10" si="2">M10*$H10</f>
        <v>0</v>
      </c>
      <c r="T10" s="8">
        <f t="shared" ref="T10" si="3">N10*$H10</f>
        <v>0</v>
      </c>
      <c r="U10" s="8">
        <f t="shared" ref="U10" si="4">O10*$H10</f>
        <v>0</v>
      </c>
    </row>
    <row r="11" spans="1:23" s="100" customFormat="1" ht="12.75" customHeight="1" x14ac:dyDescent="0.2">
      <c r="A11" s="7"/>
      <c r="C11" s="108" t="s">
        <v>48</v>
      </c>
      <c r="D11" s="109" t="s">
        <v>4</v>
      </c>
      <c r="E11" s="109" t="s">
        <v>1</v>
      </c>
      <c r="F11" s="110" t="s">
        <v>219</v>
      </c>
      <c r="G11" s="3"/>
      <c r="H11" s="111">
        <v>122.2</v>
      </c>
      <c r="I11" s="12" t="s">
        <v>41</v>
      </c>
      <c r="J11" s="3"/>
      <c r="K11" s="112">
        <v>420</v>
      </c>
      <c r="L11" s="112"/>
      <c r="M11" s="112"/>
      <c r="N11" s="112"/>
      <c r="O11" s="112"/>
      <c r="P11" s="3"/>
      <c r="Q11" s="8">
        <f t="shared" ref="Q11:Q45" si="5">K11*$H11</f>
        <v>51324</v>
      </c>
      <c r="R11" s="8">
        <f t="shared" ref="R11:R45" si="6">L11*$H11</f>
        <v>0</v>
      </c>
      <c r="S11" s="8">
        <f t="shared" ref="S11:S45" si="7">M11*$H11</f>
        <v>0</v>
      </c>
      <c r="T11" s="8">
        <f t="shared" ref="T11:T45" si="8">N11*$H11</f>
        <v>0</v>
      </c>
      <c r="U11" s="8">
        <f t="shared" ref="U11:U45" si="9">O11*$H11</f>
        <v>0</v>
      </c>
    </row>
    <row r="12" spans="1:23" s="100" customFormat="1" ht="12.75" customHeight="1" x14ac:dyDescent="0.2">
      <c r="A12" s="7"/>
      <c r="C12" s="108" t="s">
        <v>49</v>
      </c>
      <c r="D12" s="109" t="s">
        <v>4</v>
      </c>
      <c r="E12" s="109" t="s">
        <v>1</v>
      </c>
      <c r="F12" s="110" t="s">
        <v>219</v>
      </c>
      <c r="G12" s="3"/>
      <c r="H12" s="111">
        <v>122.2</v>
      </c>
      <c r="I12" s="12" t="s">
        <v>41</v>
      </c>
      <c r="J12" s="3"/>
      <c r="K12" s="112">
        <v>630</v>
      </c>
      <c r="L12" s="112"/>
      <c r="M12" s="112"/>
      <c r="N12" s="112"/>
      <c r="O12" s="112"/>
      <c r="P12" s="3"/>
      <c r="Q12" s="8">
        <f t="shared" si="5"/>
        <v>76986</v>
      </c>
      <c r="R12" s="8">
        <f t="shared" si="6"/>
        <v>0</v>
      </c>
      <c r="S12" s="8">
        <f t="shared" si="7"/>
        <v>0</v>
      </c>
      <c r="T12" s="8">
        <f t="shared" si="8"/>
        <v>0</v>
      </c>
      <c r="U12" s="8">
        <f t="shared" si="9"/>
        <v>0</v>
      </c>
    </row>
    <row r="13" spans="1:23" s="100" customFormat="1" ht="12.75" customHeight="1" x14ac:dyDescent="0.2">
      <c r="A13" s="7"/>
      <c r="C13" s="108" t="s">
        <v>50</v>
      </c>
      <c r="D13" s="109" t="s">
        <v>4</v>
      </c>
      <c r="E13" s="109" t="s">
        <v>1</v>
      </c>
      <c r="F13" s="110" t="s">
        <v>219</v>
      </c>
      <c r="G13" s="3"/>
      <c r="H13" s="111">
        <v>122.2</v>
      </c>
      <c r="I13" s="12" t="s">
        <v>41</v>
      </c>
      <c r="J13" s="3"/>
      <c r="K13" s="112">
        <v>973.28244274809151</v>
      </c>
      <c r="L13" s="112"/>
      <c r="M13" s="112"/>
      <c r="N13" s="112"/>
      <c r="O13" s="112"/>
      <c r="P13" s="3"/>
      <c r="Q13" s="8">
        <f t="shared" si="5"/>
        <v>118935.11450381679</v>
      </c>
      <c r="R13" s="8">
        <f t="shared" si="6"/>
        <v>0</v>
      </c>
      <c r="S13" s="8">
        <f t="shared" si="7"/>
        <v>0</v>
      </c>
      <c r="T13" s="8">
        <f t="shared" si="8"/>
        <v>0</v>
      </c>
      <c r="U13" s="8">
        <f t="shared" si="9"/>
        <v>0</v>
      </c>
    </row>
    <row r="14" spans="1:23" s="100" customFormat="1" ht="12.75" customHeight="1" x14ac:dyDescent="0.2">
      <c r="A14" s="7"/>
      <c r="C14" s="108" t="s">
        <v>51</v>
      </c>
      <c r="D14" s="109" t="s">
        <v>4</v>
      </c>
      <c r="E14" s="109" t="s">
        <v>1</v>
      </c>
      <c r="F14" s="110" t="s">
        <v>219</v>
      </c>
      <c r="G14" s="3"/>
      <c r="H14" s="111">
        <v>122.2</v>
      </c>
      <c r="I14" s="12" t="s">
        <v>41</v>
      </c>
      <c r="J14" s="3"/>
      <c r="K14" s="112"/>
      <c r="L14" s="112"/>
      <c r="M14" s="112">
        <v>210</v>
      </c>
      <c r="N14" s="112"/>
      <c r="O14" s="112"/>
      <c r="P14" s="3"/>
      <c r="Q14" s="8">
        <f t="shared" si="5"/>
        <v>0</v>
      </c>
      <c r="R14" s="8">
        <f t="shared" si="6"/>
        <v>0</v>
      </c>
      <c r="S14" s="8">
        <f t="shared" si="7"/>
        <v>25662</v>
      </c>
      <c r="T14" s="8">
        <f t="shared" si="8"/>
        <v>0</v>
      </c>
      <c r="U14" s="8">
        <f t="shared" si="9"/>
        <v>0</v>
      </c>
    </row>
    <row r="15" spans="1:23" s="100" customFormat="1" ht="12.75" customHeight="1" x14ac:dyDescent="0.2">
      <c r="A15" s="7"/>
      <c r="C15" s="108" t="s">
        <v>52</v>
      </c>
      <c r="D15" s="109" t="s">
        <v>4</v>
      </c>
      <c r="E15" s="109" t="s">
        <v>1</v>
      </c>
      <c r="F15" s="110" t="s">
        <v>219</v>
      </c>
      <c r="G15" s="3"/>
      <c r="H15" s="111">
        <v>122.2</v>
      </c>
      <c r="I15" s="12" t="s">
        <v>41</v>
      </c>
      <c r="J15" s="3"/>
      <c r="K15" s="112"/>
      <c r="L15" s="112"/>
      <c r="M15" s="112">
        <v>210</v>
      </c>
      <c r="N15" s="112"/>
      <c r="O15" s="112"/>
      <c r="P15" s="3"/>
      <c r="Q15" s="8">
        <f t="shared" si="5"/>
        <v>0</v>
      </c>
      <c r="R15" s="8">
        <f t="shared" si="6"/>
        <v>0</v>
      </c>
      <c r="S15" s="8">
        <f t="shared" si="7"/>
        <v>25662</v>
      </c>
      <c r="T15" s="8">
        <f t="shared" si="8"/>
        <v>0</v>
      </c>
      <c r="U15" s="8">
        <f t="shared" si="9"/>
        <v>0</v>
      </c>
    </row>
    <row r="16" spans="1:23" s="100" customFormat="1" ht="12.75" customHeight="1" x14ac:dyDescent="0.2">
      <c r="A16" s="7"/>
      <c r="C16" s="108" t="s">
        <v>53</v>
      </c>
      <c r="D16" s="109" t="s">
        <v>4</v>
      </c>
      <c r="E16" s="109" t="s">
        <v>1</v>
      </c>
      <c r="F16" s="110" t="s">
        <v>219</v>
      </c>
      <c r="G16" s="3"/>
      <c r="H16" s="111">
        <v>122.2</v>
      </c>
      <c r="I16" s="12" t="s">
        <v>41</v>
      </c>
      <c r="J16" s="3"/>
      <c r="K16" s="112"/>
      <c r="L16" s="112"/>
      <c r="M16" s="112">
        <v>420</v>
      </c>
      <c r="N16" s="112"/>
      <c r="O16" s="112"/>
      <c r="P16" s="3"/>
      <c r="Q16" s="8">
        <f t="shared" si="5"/>
        <v>0</v>
      </c>
      <c r="R16" s="8">
        <f t="shared" si="6"/>
        <v>0</v>
      </c>
      <c r="S16" s="8">
        <f t="shared" si="7"/>
        <v>51324</v>
      </c>
      <c r="T16" s="8">
        <f t="shared" si="8"/>
        <v>0</v>
      </c>
      <c r="U16" s="8">
        <f t="shared" si="9"/>
        <v>0</v>
      </c>
    </row>
    <row r="17" spans="1:21" s="100" customFormat="1" ht="12.75" customHeight="1" x14ac:dyDescent="0.2">
      <c r="A17" s="7"/>
      <c r="C17" s="108" t="s">
        <v>54</v>
      </c>
      <c r="D17" s="109" t="s">
        <v>4</v>
      </c>
      <c r="E17" s="109" t="s">
        <v>1</v>
      </c>
      <c r="F17" s="110" t="s">
        <v>219</v>
      </c>
      <c r="G17" s="3"/>
      <c r="H17" s="111">
        <v>122.2</v>
      </c>
      <c r="I17" s="12" t="s">
        <v>41</v>
      </c>
      <c r="J17" s="3"/>
      <c r="K17" s="112"/>
      <c r="L17" s="112"/>
      <c r="M17" s="112">
        <v>420</v>
      </c>
      <c r="N17" s="112"/>
      <c r="O17" s="112"/>
      <c r="P17" s="3"/>
      <c r="Q17" s="8">
        <f t="shared" si="5"/>
        <v>0</v>
      </c>
      <c r="R17" s="8">
        <f t="shared" si="6"/>
        <v>0</v>
      </c>
      <c r="S17" s="8">
        <f t="shared" si="7"/>
        <v>51324</v>
      </c>
      <c r="T17" s="8">
        <f t="shared" si="8"/>
        <v>0</v>
      </c>
      <c r="U17" s="8">
        <f t="shared" si="9"/>
        <v>0</v>
      </c>
    </row>
    <row r="18" spans="1:21" s="100" customFormat="1" ht="12.75" customHeight="1" x14ac:dyDescent="0.2">
      <c r="A18" s="7"/>
      <c r="C18" s="108" t="s">
        <v>55</v>
      </c>
      <c r="D18" s="109" t="s">
        <v>4</v>
      </c>
      <c r="E18" s="109" t="s">
        <v>1</v>
      </c>
      <c r="F18" s="110" t="s">
        <v>219</v>
      </c>
      <c r="G18" s="3"/>
      <c r="H18" s="111">
        <v>122.2</v>
      </c>
      <c r="I18" s="12" t="s">
        <v>41</v>
      </c>
      <c r="J18" s="3"/>
      <c r="K18" s="112"/>
      <c r="L18" s="112"/>
      <c r="M18" s="112">
        <v>52.5</v>
      </c>
      <c r="N18" s="112"/>
      <c r="O18" s="112"/>
      <c r="P18" s="3"/>
      <c r="Q18" s="8">
        <f t="shared" si="5"/>
        <v>0</v>
      </c>
      <c r="R18" s="8">
        <f t="shared" si="6"/>
        <v>0</v>
      </c>
      <c r="S18" s="8">
        <f t="shared" si="7"/>
        <v>6415.5</v>
      </c>
      <c r="T18" s="8">
        <f t="shared" si="8"/>
        <v>0</v>
      </c>
      <c r="U18" s="8">
        <f t="shared" si="9"/>
        <v>0</v>
      </c>
    </row>
    <row r="19" spans="1:21" s="100" customFormat="1" ht="12.75" customHeight="1" x14ac:dyDescent="0.2">
      <c r="A19" s="7"/>
      <c r="C19" s="108" t="s">
        <v>56</v>
      </c>
      <c r="D19" s="109" t="s">
        <v>4</v>
      </c>
      <c r="E19" s="109" t="s">
        <v>1</v>
      </c>
      <c r="F19" s="110" t="s">
        <v>219</v>
      </c>
      <c r="G19" s="3"/>
      <c r="H19" s="111">
        <v>122.2</v>
      </c>
      <c r="I19" s="12" t="s">
        <v>41</v>
      </c>
      <c r="J19" s="3"/>
      <c r="K19" s="112"/>
      <c r="L19" s="112"/>
      <c r="M19" s="112">
        <v>210</v>
      </c>
      <c r="N19" s="112"/>
      <c r="O19" s="112"/>
      <c r="P19" s="3"/>
      <c r="Q19" s="8">
        <f t="shared" si="5"/>
        <v>0</v>
      </c>
      <c r="R19" s="8">
        <f t="shared" si="6"/>
        <v>0</v>
      </c>
      <c r="S19" s="8">
        <f t="shared" si="7"/>
        <v>25662</v>
      </c>
      <c r="T19" s="8">
        <f t="shared" si="8"/>
        <v>0</v>
      </c>
      <c r="U19" s="8">
        <f t="shared" si="9"/>
        <v>0</v>
      </c>
    </row>
    <row r="20" spans="1:21" s="100" customFormat="1" ht="12.75" customHeight="1" x14ac:dyDescent="0.2">
      <c r="A20" s="7"/>
      <c r="C20" s="108" t="s">
        <v>57</v>
      </c>
      <c r="D20" s="109" t="s">
        <v>4</v>
      </c>
      <c r="E20" s="109" t="s">
        <v>1</v>
      </c>
      <c r="F20" s="110" t="s">
        <v>219</v>
      </c>
      <c r="G20" s="3"/>
      <c r="H20" s="111">
        <v>122.2</v>
      </c>
      <c r="I20" s="12" t="s">
        <v>41</v>
      </c>
      <c r="J20" s="3"/>
      <c r="K20" s="112"/>
      <c r="L20" s="112"/>
      <c r="M20" s="112">
        <v>210</v>
      </c>
      <c r="N20" s="112"/>
      <c r="O20" s="112"/>
      <c r="P20" s="3"/>
      <c r="Q20" s="8">
        <f t="shared" si="5"/>
        <v>0</v>
      </c>
      <c r="R20" s="8">
        <f t="shared" si="6"/>
        <v>0</v>
      </c>
      <c r="S20" s="8">
        <f t="shared" si="7"/>
        <v>25662</v>
      </c>
      <c r="T20" s="8">
        <f t="shared" si="8"/>
        <v>0</v>
      </c>
      <c r="U20" s="8">
        <f t="shared" si="9"/>
        <v>0</v>
      </c>
    </row>
    <row r="21" spans="1:21" s="100" customFormat="1" ht="12.75" customHeight="1" x14ac:dyDescent="0.2">
      <c r="A21" s="7"/>
      <c r="C21" s="108" t="s">
        <v>58</v>
      </c>
      <c r="D21" s="109" t="s">
        <v>4</v>
      </c>
      <c r="E21" s="109" t="s">
        <v>1</v>
      </c>
      <c r="F21" s="110" t="s">
        <v>219</v>
      </c>
      <c r="G21" s="3"/>
      <c r="H21" s="111">
        <v>122.2</v>
      </c>
      <c r="I21" s="12" t="s">
        <v>41</v>
      </c>
      <c r="J21" s="3"/>
      <c r="K21" s="112"/>
      <c r="L21" s="112"/>
      <c r="M21" s="112">
        <v>420</v>
      </c>
      <c r="N21" s="112"/>
      <c r="O21" s="112"/>
      <c r="P21" s="3"/>
      <c r="Q21" s="8">
        <f t="shared" si="5"/>
        <v>0</v>
      </c>
      <c r="R21" s="8">
        <f t="shared" si="6"/>
        <v>0</v>
      </c>
      <c r="S21" s="8">
        <f t="shared" si="7"/>
        <v>51324</v>
      </c>
      <c r="T21" s="8">
        <f t="shared" si="8"/>
        <v>0</v>
      </c>
      <c r="U21" s="8">
        <f t="shared" si="9"/>
        <v>0</v>
      </c>
    </row>
    <row r="22" spans="1:21" s="100" customFormat="1" ht="12.75" customHeight="1" x14ac:dyDescent="0.2">
      <c r="A22" s="7"/>
      <c r="C22" s="108" t="s">
        <v>59</v>
      </c>
      <c r="D22" s="109" t="s">
        <v>4</v>
      </c>
      <c r="E22" s="109" t="s">
        <v>1</v>
      </c>
      <c r="F22" s="110" t="s">
        <v>219</v>
      </c>
      <c r="G22" s="3"/>
      <c r="H22" s="111">
        <v>122.2</v>
      </c>
      <c r="I22" s="12" t="s">
        <v>41</v>
      </c>
      <c r="J22" s="3"/>
      <c r="K22" s="112"/>
      <c r="L22" s="112"/>
      <c r="M22" s="112">
        <v>420</v>
      </c>
      <c r="N22" s="112"/>
      <c r="O22" s="112"/>
      <c r="P22" s="3"/>
      <c r="Q22" s="8">
        <f t="shared" si="5"/>
        <v>0</v>
      </c>
      <c r="R22" s="8">
        <f t="shared" si="6"/>
        <v>0</v>
      </c>
      <c r="S22" s="8">
        <f t="shared" si="7"/>
        <v>51324</v>
      </c>
      <c r="T22" s="8">
        <f t="shared" si="8"/>
        <v>0</v>
      </c>
      <c r="U22" s="8">
        <f t="shared" si="9"/>
        <v>0</v>
      </c>
    </row>
    <row r="23" spans="1:21" s="100" customFormat="1" ht="12.75" customHeight="1" x14ac:dyDescent="0.2">
      <c r="A23" s="7"/>
      <c r="C23" s="108" t="s">
        <v>60</v>
      </c>
      <c r="D23" s="109" t="s">
        <v>4</v>
      </c>
      <c r="E23" s="109" t="s">
        <v>1</v>
      </c>
      <c r="F23" s="110" t="s">
        <v>219</v>
      </c>
      <c r="G23" s="3"/>
      <c r="H23" s="111">
        <v>122.2</v>
      </c>
      <c r="I23" s="12" t="s">
        <v>41</v>
      </c>
      <c r="J23" s="3"/>
      <c r="K23" s="112"/>
      <c r="L23" s="112"/>
      <c r="M23" s="112">
        <v>52.5</v>
      </c>
      <c r="N23" s="112"/>
      <c r="O23" s="112"/>
      <c r="P23" s="3"/>
      <c r="Q23" s="8">
        <f t="shared" si="5"/>
        <v>0</v>
      </c>
      <c r="R23" s="8">
        <f t="shared" si="6"/>
        <v>0</v>
      </c>
      <c r="S23" s="8">
        <f t="shared" si="7"/>
        <v>6415.5</v>
      </c>
      <c r="T23" s="8">
        <f t="shared" si="8"/>
        <v>0</v>
      </c>
      <c r="U23" s="8">
        <f t="shared" si="9"/>
        <v>0</v>
      </c>
    </row>
    <row r="24" spans="1:21" s="100" customFormat="1" ht="12.75" customHeight="1" x14ac:dyDescent="0.2">
      <c r="A24" s="7"/>
      <c r="C24" s="108" t="s">
        <v>189</v>
      </c>
      <c r="D24" s="109" t="s">
        <v>4</v>
      </c>
      <c r="E24" s="109" t="s">
        <v>1</v>
      </c>
      <c r="F24" s="110" t="s">
        <v>219</v>
      </c>
      <c r="G24" s="3"/>
      <c r="H24" s="111">
        <v>122.2</v>
      </c>
      <c r="I24" s="12" t="s">
        <v>41</v>
      </c>
      <c r="J24" s="3"/>
      <c r="K24" s="112"/>
      <c r="L24" s="112">
        <v>315</v>
      </c>
      <c r="M24" s="112"/>
      <c r="N24" s="112"/>
      <c r="O24" s="112"/>
      <c r="P24" s="3"/>
      <c r="Q24" s="8">
        <f t="shared" si="5"/>
        <v>0</v>
      </c>
      <c r="R24" s="8">
        <f t="shared" si="6"/>
        <v>38493</v>
      </c>
      <c r="S24" s="8">
        <f t="shared" si="7"/>
        <v>0</v>
      </c>
      <c r="T24" s="8">
        <f t="shared" si="8"/>
        <v>0</v>
      </c>
      <c r="U24" s="8">
        <f t="shared" si="9"/>
        <v>0</v>
      </c>
    </row>
    <row r="25" spans="1:21" s="100" customFormat="1" ht="12.75" customHeight="1" x14ac:dyDescent="0.2">
      <c r="A25" s="7"/>
      <c r="C25" s="108" t="s">
        <v>190</v>
      </c>
      <c r="D25" s="109" t="s">
        <v>4</v>
      </c>
      <c r="E25" s="109" t="s">
        <v>1</v>
      </c>
      <c r="F25" s="110" t="s">
        <v>219</v>
      </c>
      <c r="G25" s="3"/>
      <c r="H25" s="111">
        <v>122.2</v>
      </c>
      <c r="I25" s="12" t="s">
        <v>41</v>
      </c>
      <c r="J25" s="3"/>
      <c r="K25" s="112"/>
      <c r="L25" s="112">
        <v>630</v>
      </c>
      <c r="M25" s="112"/>
      <c r="N25" s="112"/>
      <c r="O25" s="112"/>
      <c r="P25" s="3"/>
      <c r="Q25" s="8">
        <f t="shared" si="5"/>
        <v>0</v>
      </c>
      <c r="R25" s="8">
        <f t="shared" si="6"/>
        <v>76986</v>
      </c>
      <c r="S25" s="8">
        <f t="shared" si="7"/>
        <v>0</v>
      </c>
      <c r="T25" s="8">
        <f t="shared" si="8"/>
        <v>0</v>
      </c>
      <c r="U25" s="8">
        <f t="shared" si="9"/>
        <v>0</v>
      </c>
    </row>
    <row r="26" spans="1:21" s="100" customFormat="1" ht="12.75" customHeight="1" x14ac:dyDescent="0.2">
      <c r="A26" s="7"/>
      <c r="C26" s="108" t="s">
        <v>191</v>
      </c>
      <c r="D26" s="109" t="s">
        <v>4</v>
      </c>
      <c r="E26" s="109" t="s">
        <v>1</v>
      </c>
      <c r="F26" s="110" t="s">
        <v>219</v>
      </c>
      <c r="G26" s="3"/>
      <c r="H26" s="111">
        <v>122.2</v>
      </c>
      <c r="I26" s="12" t="s">
        <v>41</v>
      </c>
      <c r="J26" s="3"/>
      <c r="K26" s="112"/>
      <c r="L26" s="112">
        <v>1260</v>
      </c>
      <c r="M26" s="112"/>
      <c r="N26" s="112"/>
      <c r="O26" s="112"/>
      <c r="P26" s="3"/>
      <c r="Q26" s="8">
        <f t="shared" si="5"/>
        <v>0</v>
      </c>
      <c r="R26" s="8">
        <f t="shared" si="6"/>
        <v>153972</v>
      </c>
      <c r="S26" s="8">
        <f t="shared" si="7"/>
        <v>0</v>
      </c>
      <c r="T26" s="8">
        <f t="shared" si="8"/>
        <v>0</v>
      </c>
      <c r="U26" s="8">
        <f t="shared" si="9"/>
        <v>0</v>
      </c>
    </row>
    <row r="27" spans="1:21" s="100" customFormat="1" ht="12.75" customHeight="1" x14ac:dyDescent="0.2">
      <c r="A27" s="7"/>
      <c r="C27" s="108" t="s">
        <v>192</v>
      </c>
      <c r="D27" s="109" t="s">
        <v>4</v>
      </c>
      <c r="E27" s="109" t="s">
        <v>1</v>
      </c>
      <c r="F27" s="110" t="s">
        <v>219</v>
      </c>
      <c r="G27" s="3"/>
      <c r="H27" s="111">
        <v>122.2</v>
      </c>
      <c r="I27" s="12" t="s">
        <v>41</v>
      </c>
      <c r="J27" s="3"/>
      <c r="K27" s="112"/>
      <c r="L27" s="112">
        <v>315</v>
      </c>
      <c r="M27" s="112"/>
      <c r="N27" s="112"/>
      <c r="O27" s="112"/>
      <c r="P27" s="3"/>
      <c r="Q27" s="8">
        <f t="shared" si="5"/>
        <v>0</v>
      </c>
      <c r="R27" s="8">
        <f t="shared" si="6"/>
        <v>38493</v>
      </c>
      <c r="S27" s="8">
        <f t="shared" si="7"/>
        <v>0</v>
      </c>
      <c r="T27" s="8">
        <f t="shared" si="8"/>
        <v>0</v>
      </c>
      <c r="U27" s="8">
        <f t="shared" si="9"/>
        <v>0</v>
      </c>
    </row>
    <row r="28" spans="1:21" s="100" customFormat="1" ht="12.75" customHeight="1" x14ac:dyDescent="0.2">
      <c r="A28" s="7"/>
      <c r="C28" s="108" t="s">
        <v>193</v>
      </c>
      <c r="D28" s="109" t="s">
        <v>4</v>
      </c>
      <c r="E28" s="109" t="s">
        <v>1</v>
      </c>
      <c r="F28" s="110" t="s">
        <v>219</v>
      </c>
      <c r="G28" s="3"/>
      <c r="H28" s="111">
        <v>122.2</v>
      </c>
      <c r="I28" s="12" t="s">
        <v>41</v>
      </c>
      <c r="J28" s="3"/>
      <c r="K28" s="112"/>
      <c r="L28" s="112">
        <v>630</v>
      </c>
      <c r="M28" s="112"/>
      <c r="N28" s="112"/>
      <c r="O28" s="112"/>
      <c r="P28" s="3"/>
      <c r="Q28" s="8">
        <f t="shared" si="5"/>
        <v>0</v>
      </c>
      <c r="R28" s="8">
        <f t="shared" si="6"/>
        <v>76986</v>
      </c>
      <c r="S28" s="8">
        <f t="shared" si="7"/>
        <v>0</v>
      </c>
      <c r="T28" s="8">
        <f t="shared" si="8"/>
        <v>0</v>
      </c>
      <c r="U28" s="8">
        <f t="shared" si="9"/>
        <v>0</v>
      </c>
    </row>
    <row r="29" spans="1:21" s="100" customFormat="1" ht="12.75" customHeight="1" x14ac:dyDescent="0.2">
      <c r="A29" s="7"/>
      <c r="C29" s="108" t="s">
        <v>194</v>
      </c>
      <c r="D29" s="109" t="s">
        <v>4</v>
      </c>
      <c r="E29" s="109" t="s">
        <v>1</v>
      </c>
      <c r="F29" s="110" t="s">
        <v>219</v>
      </c>
      <c r="G29" s="3"/>
      <c r="H29" s="111">
        <v>122.2</v>
      </c>
      <c r="I29" s="12" t="s">
        <v>41</v>
      </c>
      <c r="J29" s="3"/>
      <c r="K29" s="112"/>
      <c r="L29" s="112">
        <v>105</v>
      </c>
      <c r="M29" s="112"/>
      <c r="N29" s="112"/>
      <c r="O29" s="112"/>
      <c r="P29" s="3"/>
      <c r="Q29" s="8">
        <f t="shared" si="5"/>
        <v>0</v>
      </c>
      <c r="R29" s="8">
        <f t="shared" si="6"/>
        <v>12831</v>
      </c>
      <c r="S29" s="8">
        <f t="shared" si="7"/>
        <v>0</v>
      </c>
      <c r="T29" s="8">
        <f t="shared" si="8"/>
        <v>0</v>
      </c>
      <c r="U29" s="8">
        <f t="shared" si="9"/>
        <v>0</v>
      </c>
    </row>
    <row r="30" spans="1:21" s="100" customFormat="1" ht="12.75" customHeight="1" x14ac:dyDescent="0.2">
      <c r="A30" s="7"/>
      <c r="C30" s="108" t="s">
        <v>61</v>
      </c>
      <c r="D30" s="109" t="s">
        <v>4</v>
      </c>
      <c r="E30" s="109" t="s">
        <v>1</v>
      </c>
      <c r="F30" s="110" t="s">
        <v>219</v>
      </c>
      <c r="G30" s="3"/>
      <c r="H30" s="111">
        <v>122.2</v>
      </c>
      <c r="I30" s="12" t="s">
        <v>41</v>
      </c>
      <c r="J30" s="3"/>
      <c r="K30" s="112"/>
      <c r="L30" s="112"/>
      <c r="M30" s="112"/>
      <c r="N30" s="112">
        <v>630</v>
      </c>
      <c r="O30" s="112"/>
      <c r="P30" s="3"/>
      <c r="Q30" s="8">
        <f t="shared" si="5"/>
        <v>0</v>
      </c>
      <c r="R30" s="8">
        <f t="shared" si="6"/>
        <v>0</v>
      </c>
      <c r="S30" s="8">
        <f t="shared" si="7"/>
        <v>0</v>
      </c>
      <c r="T30" s="8">
        <f t="shared" si="8"/>
        <v>76986</v>
      </c>
      <c r="U30" s="8">
        <f t="shared" si="9"/>
        <v>0</v>
      </c>
    </row>
    <row r="31" spans="1:21" s="100" customFormat="1" ht="12.75" customHeight="1" x14ac:dyDescent="0.2">
      <c r="A31" s="7"/>
      <c r="C31" s="108" t="s">
        <v>62</v>
      </c>
      <c r="D31" s="109" t="s">
        <v>4</v>
      </c>
      <c r="E31" s="109" t="s">
        <v>1</v>
      </c>
      <c r="F31" s="110" t="s">
        <v>219</v>
      </c>
      <c r="G31" s="3"/>
      <c r="H31" s="111">
        <v>122.2</v>
      </c>
      <c r="I31" s="12" t="s">
        <v>41</v>
      </c>
      <c r="J31" s="3"/>
      <c r="K31" s="112"/>
      <c r="L31" s="112"/>
      <c r="M31" s="112"/>
      <c r="N31" s="112">
        <v>630</v>
      </c>
      <c r="O31" s="112"/>
      <c r="P31" s="3"/>
      <c r="Q31" s="8">
        <f t="shared" si="5"/>
        <v>0</v>
      </c>
      <c r="R31" s="8">
        <f t="shared" si="6"/>
        <v>0</v>
      </c>
      <c r="S31" s="8">
        <f t="shared" si="7"/>
        <v>0</v>
      </c>
      <c r="T31" s="8">
        <f t="shared" si="8"/>
        <v>76986</v>
      </c>
      <c r="U31" s="8">
        <f t="shared" si="9"/>
        <v>0</v>
      </c>
    </row>
    <row r="32" spans="1:21" s="100" customFormat="1" ht="12.75" customHeight="1" x14ac:dyDescent="0.2">
      <c r="A32" s="7"/>
      <c r="C32" s="108" t="s">
        <v>63</v>
      </c>
      <c r="D32" s="109" t="s">
        <v>4</v>
      </c>
      <c r="E32" s="109" t="s">
        <v>1</v>
      </c>
      <c r="F32" s="110" t="s">
        <v>219</v>
      </c>
      <c r="G32" s="3"/>
      <c r="H32" s="111">
        <v>122.2</v>
      </c>
      <c r="I32" s="12" t="s">
        <v>41</v>
      </c>
      <c r="J32" s="3"/>
      <c r="K32" s="112"/>
      <c r="L32" s="112"/>
      <c r="M32" s="112"/>
      <c r="N32" s="112">
        <v>945</v>
      </c>
      <c r="O32" s="112"/>
      <c r="P32" s="3"/>
      <c r="Q32" s="8">
        <f t="shared" si="5"/>
        <v>0</v>
      </c>
      <c r="R32" s="8">
        <f t="shared" si="6"/>
        <v>0</v>
      </c>
      <c r="S32" s="8">
        <f t="shared" si="7"/>
        <v>0</v>
      </c>
      <c r="T32" s="8">
        <f t="shared" si="8"/>
        <v>115479</v>
      </c>
      <c r="U32" s="8">
        <f t="shared" si="9"/>
        <v>0</v>
      </c>
    </row>
    <row r="33" spans="1:26" s="100" customFormat="1" ht="12.75" customHeight="1" x14ac:dyDescent="0.2">
      <c r="A33" s="7"/>
      <c r="C33" s="108" t="s">
        <v>64</v>
      </c>
      <c r="D33" s="109" t="s">
        <v>4</v>
      </c>
      <c r="E33" s="109" t="s">
        <v>1</v>
      </c>
      <c r="F33" s="110" t="s">
        <v>219</v>
      </c>
      <c r="G33" s="3"/>
      <c r="H33" s="111">
        <v>122.2</v>
      </c>
      <c r="I33" s="12" t="s">
        <v>41</v>
      </c>
      <c r="J33" s="3"/>
      <c r="K33" s="112"/>
      <c r="L33" s="112"/>
      <c r="M33" s="112"/>
      <c r="N33" s="112">
        <v>262.49999999999994</v>
      </c>
      <c r="O33" s="112"/>
      <c r="P33" s="3"/>
      <c r="Q33" s="8">
        <f t="shared" si="5"/>
        <v>0</v>
      </c>
      <c r="R33" s="8">
        <f t="shared" si="6"/>
        <v>0</v>
      </c>
      <c r="S33" s="8">
        <f t="shared" si="7"/>
        <v>0</v>
      </c>
      <c r="T33" s="8">
        <f t="shared" si="8"/>
        <v>32077.499999999993</v>
      </c>
      <c r="U33" s="8">
        <f t="shared" si="9"/>
        <v>0</v>
      </c>
    </row>
    <row r="34" spans="1:26" s="100" customFormat="1" ht="12.75" customHeight="1" x14ac:dyDescent="0.2">
      <c r="A34" s="7"/>
      <c r="C34" s="108" t="s">
        <v>65</v>
      </c>
      <c r="D34" s="109" t="s">
        <v>4</v>
      </c>
      <c r="E34" s="109" t="s">
        <v>1</v>
      </c>
      <c r="F34" s="110" t="s">
        <v>219</v>
      </c>
      <c r="G34" s="3"/>
      <c r="H34" s="111">
        <v>122.2</v>
      </c>
      <c r="I34" s="12" t="s">
        <v>41</v>
      </c>
      <c r="J34" s="3"/>
      <c r="K34" s="112"/>
      <c r="L34" s="112"/>
      <c r="M34" s="112"/>
      <c r="N34" s="112">
        <v>524.99999999999989</v>
      </c>
      <c r="O34" s="112"/>
      <c r="P34" s="3"/>
      <c r="Q34" s="8">
        <f t="shared" si="5"/>
        <v>0</v>
      </c>
      <c r="R34" s="8">
        <f t="shared" si="6"/>
        <v>0</v>
      </c>
      <c r="S34" s="8">
        <f t="shared" si="7"/>
        <v>0</v>
      </c>
      <c r="T34" s="8">
        <f t="shared" si="8"/>
        <v>64154.999999999985</v>
      </c>
      <c r="U34" s="8">
        <f t="shared" si="9"/>
        <v>0</v>
      </c>
    </row>
    <row r="35" spans="1:26" s="100" customFormat="1" ht="12.75" customHeight="1" x14ac:dyDescent="0.2">
      <c r="A35" s="7"/>
      <c r="C35" s="108" t="s">
        <v>66</v>
      </c>
      <c r="D35" s="109" t="s">
        <v>4</v>
      </c>
      <c r="E35" s="109" t="s">
        <v>1</v>
      </c>
      <c r="F35" s="110" t="s">
        <v>219</v>
      </c>
      <c r="G35" s="3"/>
      <c r="H35" s="111">
        <v>122.2</v>
      </c>
      <c r="I35" s="12" t="s">
        <v>41</v>
      </c>
      <c r="J35" s="3"/>
      <c r="K35" s="112"/>
      <c r="L35" s="112"/>
      <c r="M35" s="112"/>
      <c r="N35" s="112">
        <v>1260</v>
      </c>
      <c r="O35" s="112"/>
      <c r="P35" s="3"/>
      <c r="Q35" s="8">
        <f t="shared" si="5"/>
        <v>0</v>
      </c>
      <c r="R35" s="8">
        <f t="shared" si="6"/>
        <v>0</v>
      </c>
      <c r="S35" s="8">
        <f t="shared" si="7"/>
        <v>0</v>
      </c>
      <c r="T35" s="8">
        <f t="shared" si="8"/>
        <v>153972</v>
      </c>
      <c r="U35" s="8">
        <f t="shared" si="9"/>
        <v>0</v>
      </c>
    </row>
    <row r="36" spans="1:26" s="100" customFormat="1" ht="12.75" customHeight="1" x14ac:dyDescent="0.2">
      <c r="A36" s="7"/>
      <c r="C36" s="108" t="s">
        <v>67</v>
      </c>
      <c r="D36" s="109" t="s">
        <v>4</v>
      </c>
      <c r="E36" s="109" t="s">
        <v>1</v>
      </c>
      <c r="F36" s="110" t="s">
        <v>219</v>
      </c>
      <c r="G36" s="3"/>
      <c r="H36" s="111">
        <v>122.2</v>
      </c>
      <c r="I36" s="12" t="s">
        <v>41</v>
      </c>
      <c r="J36" s="3"/>
      <c r="K36" s="112"/>
      <c r="L36" s="112"/>
      <c r="M36" s="112"/>
      <c r="N36" s="112">
        <v>210</v>
      </c>
      <c r="O36" s="112"/>
      <c r="P36" s="3"/>
      <c r="Q36" s="8">
        <f t="shared" si="5"/>
        <v>0</v>
      </c>
      <c r="R36" s="8">
        <f t="shared" si="6"/>
        <v>0</v>
      </c>
      <c r="S36" s="8">
        <f t="shared" si="7"/>
        <v>0</v>
      </c>
      <c r="T36" s="8">
        <f t="shared" si="8"/>
        <v>25662</v>
      </c>
      <c r="U36" s="8">
        <f t="shared" si="9"/>
        <v>0</v>
      </c>
    </row>
    <row r="37" spans="1:26" s="100" customFormat="1" ht="12.75" customHeight="1" x14ac:dyDescent="0.2">
      <c r="A37" s="7"/>
      <c r="C37" s="108" t="s">
        <v>68</v>
      </c>
      <c r="D37" s="109" t="s">
        <v>4</v>
      </c>
      <c r="E37" s="109" t="s">
        <v>1</v>
      </c>
      <c r="F37" s="110" t="s">
        <v>219</v>
      </c>
      <c r="G37" s="3"/>
      <c r="H37" s="111">
        <v>122.2</v>
      </c>
      <c r="I37" s="12" t="s">
        <v>41</v>
      </c>
      <c r="J37" s="3"/>
      <c r="K37" s="112">
        <v>840</v>
      </c>
      <c r="L37" s="112"/>
      <c r="M37" s="112"/>
      <c r="N37" s="112"/>
      <c r="O37" s="112"/>
      <c r="P37" s="3"/>
      <c r="Q37" s="8">
        <f t="shared" si="5"/>
        <v>102648</v>
      </c>
      <c r="R37" s="8">
        <f t="shared" si="6"/>
        <v>0</v>
      </c>
      <c r="S37" s="8">
        <f t="shared" si="7"/>
        <v>0</v>
      </c>
      <c r="T37" s="8">
        <f t="shared" si="8"/>
        <v>0</v>
      </c>
      <c r="U37" s="8">
        <f t="shared" si="9"/>
        <v>0</v>
      </c>
    </row>
    <row r="38" spans="1:26" s="100" customFormat="1" ht="12.75" customHeight="1" x14ac:dyDescent="0.2">
      <c r="A38" s="7"/>
      <c r="C38" s="108" t="s">
        <v>69</v>
      </c>
      <c r="D38" s="109" t="s">
        <v>4</v>
      </c>
      <c r="E38" s="109" t="s">
        <v>1</v>
      </c>
      <c r="F38" s="110" t="s">
        <v>219</v>
      </c>
      <c r="G38" s="3"/>
      <c r="H38" s="111">
        <v>122.2</v>
      </c>
      <c r="I38" s="12" t="s">
        <v>41</v>
      </c>
      <c r="J38" s="3"/>
      <c r="K38" s="112">
        <v>840</v>
      </c>
      <c r="L38" s="112"/>
      <c r="M38" s="112"/>
      <c r="N38" s="112"/>
      <c r="O38" s="112"/>
      <c r="P38" s="3"/>
      <c r="Q38" s="8">
        <f t="shared" si="5"/>
        <v>102648</v>
      </c>
      <c r="R38" s="8">
        <f t="shared" si="6"/>
        <v>0</v>
      </c>
      <c r="S38" s="8">
        <f t="shared" si="7"/>
        <v>0</v>
      </c>
      <c r="T38" s="8">
        <f t="shared" si="8"/>
        <v>0</v>
      </c>
      <c r="U38" s="8">
        <f t="shared" si="9"/>
        <v>0</v>
      </c>
    </row>
    <row r="39" spans="1:26" s="100" customFormat="1" ht="12.75" customHeight="1" x14ac:dyDescent="0.2">
      <c r="A39" s="7"/>
      <c r="C39" s="108" t="s">
        <v>70</v>
      </c>
      <c r="D39" s="109" t="s">
        <v>4</v>
      </c>
      <c r="E39" s="109" t="s">
        <v>1</v>
      </c>
      <c r="F39" s="110" t="s">
        <v>219</v>
      </c>
      <c r="G39" s="3"/>
      <c r="H39" s="111">
        <v>122.2</v>
      </c>
      <c r="I39" s="12" t="s">
        <v>41</v>
      </c>
      <c r="J39" s="3"/>
      <c r="K39" s="112">
        <v>1680</v>
      </c>
      <c r="L39" s="112"/>
      <c r="M39" s="112"/>
      <c r="N39" s="112"/>
      <c r="O39" s="112"/>
      <c r="P39" s="3"/>
      <c r="Q39" s="8">
        <f t="shared" si="5"/>
        <v>205296</v>
      </c>
      <c r="R39" s="8">
        <f t="shared" si="6"/>
        <v>0</v>
      </c>
      <c r="S39" s="8">
        <f t="shared" si="7"/>
        <v>0</v>
      </c>
      <c r="T39" s="8">
        <f t="shared" si="8"/>
        <v>0</v>
      </c>
      <c r="U39" s="8">
        <f t="shared" si="9"/>
        <v>0</v>
      </c>
    </row>
    <row r="40" spans="1:26" s="100" customFormat="1" ht="12.75" customHeight="1" x14ac:dyDescent="0.2">
      <c r="A40" s="7"/>
      <c r="C40" s="108" t="s">
        <v>71</v>
      </c>
      <c r="D40" s="109" t="s">
        <v>4</v>
      </c>
      <c r="E40" s="109" t="s">
        <v>1</v>
      </c>
      <c r="F40" s="110" t="s">
        <v>219</v>
      </c>
      <c r="G40" s="3"/>
      <c r="H40" s="111">
        <v>122.2</v>
      </c>
      <c r="I40" s="12" t="s">
        <v>41</v>
      </c>
      <c r="J40" s="3"/>
      <c r="K40" s="112">
        <v>840</v>
      </c>
      <c r="L40" s="112"/>
      <c r="M40" s="112"/>
      <c r="N40" s="112"/>
      <c r="O40" s="112"/>
      <c r="P40" s="3"/>
      <c r="Q40" s="8">
        <f t="shared" si="5"/>
        <v>102648</v>
      </c>
      <c r="R40" s="8">
        <f t="shared" si="6"/>
        <v>0</v>
      </c>
      <c r="S40" s="8">
        <f t="shared" si="7"/>
        <v>0</v>
      </c>
      <c r="T40" s="8">
        <f t="shared" si="8"/>
        <v>0</v>
      </c>
      <c r="U40" s="8">
        <f t="shared" si="9"/>
        <v>0</v>
      </c>
    </row>
    <row r="41" spans="1:26" ht="12.75" customHeight="1" x14ac:dyDescent="0.2">
      <c r="A41" s="7"/>
      <c r="C41" s="108" t="s">
        <v>72</v>
      </c>
      <c r="D41" s="109" t="s">
        <v>4</v>
      </c>
      <c r="E41" s="109" t="s">
        <v>1</v>
      </c>
      <c r="F41" s="110" t="s">
        <v>219</v>
      </c>
      <c r="G41" s="3"/>
      <c r="H41" s="111">
        <v>122.2</v>
      </c>
      <c r="I41" s="12" t="s">
        <v>41</v>
      </c>
      <c r="J41" s="3"/>
      <c r="K41" s="112">
        <v>840</v>
      </c>
      <c r="L41" s="112"/>
      <c r="M41" s="112"/>
      <c r="N41" s="112"/>
      <c r="O41" s="112"/>
      <c r="P41" s="3"/>
      <c r="Q41" s="8">
        <f t="shared" si="5"/>
        <v>102648</v>
      </c>
      <c r="R41" s="8">
        <f t="shared" si="6"/>
        <v>0</v>
      </c>
      <c r="S41" s="8">
        <f t="shared" si="7"/>
        <v>0</v>
      </c>
      <c r="T41" s="8">
        <f t="shared" si="8"/>
        <v>0</v>
      </c>
      <c r="U41" s="8">
        <f t="shared" si="9"/>
        <v>0</v>
      </c>
    </row>
    <row r="42" spans="1:26" ht="12.75" customHeight="1" x14ac:dyDescent="0.2">
      <c r="A42" s="7"/>
      <c r="C42" s="108" t="s">
        <v>73</v>
      </c>
      <c r="D42" s="109" t="s">
        <v>4</v>
      </c>
      <c r="E42" s="109" t="s">
        <v>1</v>
      </c>
      <c r="F42" s="110" t="s">
        <v>219</v>
      </c>
      <c r="G42" s="3"/>
      <c r="H42" s="111">
        <v>122.2</v>
      </c>
      <c r="I42" s="12" t="s">
        <v>41</v>
      </c>
      <c r="J42" s="3"/>
      <c r="K42" s="112">
        <v>1680</v>
      </c>
      <c r="L42" s="112"/>
      <c r="M42" s="112"/>
      <c r="N42" s="112"/>
      <c r="O42" s="112"/>
      <c r="P42" s="3"/>
      <c r="Q42" s="8">
        <f t="shared" si="5"/>
        <v>205296</v>
      </c>
      <c r="R42" s="8">
        <f t="shared" si="6"/>
        <v>0</v>
      </c>
      <c r="S42" s="8">
        <f t="shared" si="7"/>
        <v>0</v>
      </c>
      <c r="T42" s="8">
        <f t="shared" si="8"/>
        <v>0</v>
      </c>
      <c r="U42" s="8">
        <f t="shared" si="9"/>
        <v>0</v>
      </c>
    </row>
    <row r="43" spans="1:26" ht="12.75" customHeight="1" x14ac:dyDescent="0.25">
      <c r="A43" s="7"/>
      <c r="C43" s="108" t="s">
        <v>74</v>
      </c>
      <c r="D43" s="109" t="s">
        <v>4</v>
      </c>
      <c r="E43" s="109" t="s">
        <v>1</v>
      </c>
      <c r="F43" s="110" t="s">
        <v>219</v>
      </c>
      <c r="G43" s="3"/>
      <c r="H43" s="111">
        <v>122.2</v>
      </c>
      <c r="I43" s="12" t="s">
        <v>41</v>
      </c>
      <c r="J43" s="3"/>
      <c r="K43" s="112">
        <v>315</v>
      </c>
      <c r="L43" s="112"/>
      <c r="M43" s="112"/>
      <c r="N43" s="112"/>
      <c r="O43" s="112"/>
      <c r="P43" s="3"/>
      <c r="Q43" s="8">
        <f t="shared" si="5"/>
        <v>38493</v>
      </c>
      <c r="R43" s="8">
        <f t="shared" si="6"/>
        <v>0</v>
      </c>
      <c r="S43" s="8">
        <f t="shared" si="7"/>
        <v>0</v>
      </c>
      <c r="T43" s="8">
        <f t="shared" si="8"/>
        <v>0</v>
      </c>
      <c r="U43" s="8">
        <f t="shared" si="9"/>
        <v>0</v>
      </c>
      <c r="Z43"/>
    </row>
    <row r="44" spans="1:26" ht="12.75" customHeight="1" x14ac:dyDescent="0.25">
      <c r="A44" s="7"/>
      <c r="C44" s="108" t="s">
        <v>75</v>
      </c>
      <c r="D44" s="109" t="s">
        <v>4</v>
      </c>
      <c r="E44" s="109" t="s">
        <v>1</v>
      </c>
      <c r="F44" s="110" t="s">
        <v>219</v>
      </c>
      <c r="G44" s="3"/>
      <c r="H44" s="111">
        <v>122.2</v>
      </c>
      <c r="I44" s="12" t="s">
        <v>41</v>
      </c>
      <c r="J44" s="3"/>
      <c r="K44" s="112">
        <v>210</v>
      </c>
      <c r="L44" s="112"/>
      <c r="M44" s="112"/>
      <c r="N44" s="112"/>
      <c r="O44" s="112"/>
      <c r="P44" s="3"/>
      <c r="Q44" s="8">
        <f t="shared" si="5"/>
        <v>25662</v>
      </c>
      <c r="R44" s="8">
        <f t="shared" si="6"/>
        <v>0</v>
      </c>
      <c r="S44" s="8">
        <f t="shared" si="7"/>
        <v>0</v>
      </c>
      <c r="T44" s="8">
        <f t="shared" si="8"/>
        <v>0</v>
      </c>
      <c r="U44" s="8">
        <f t="shared" si="9"/>
        <v>0</v>
      </c>
      <c r="Z44"/>
    </row>
    <row r="45" spans="1:26" ht="12.75" customHeight="1" x14ac:dyDescent="0.25">
      <c r="A45" s="7"/>
      <c r="C45" s="115" t="s">
        <v>76</v>
      </c>
      <c r="D45" s="109" t="s">
        <v>4</v>
      </c>
      <c r="E45" s="109" t="s">
        <v>1</v>
      </c>
      <c r="F45" s="110" t="s">
        <v>219</v>
      </c>
      <c r="G45" s="3"/>
      <c r="H45" s="111">
        <v>122.2</v>
      </c>
      <c r="I45" s="12" t="s">
        <v>41</v>
      </c>
      <c r="J45" s="3"/>
      <c r="K45" s="112">
        <v>420</v>
      </c>
      <c r="L45" s="112"/>
      <c r="M45" s="112"/>
      <c r="N45" s="112"/>
      <c r="O45" s="112"/>
      <c r="P45" s="3"/>
      <c r="Q45" s="8">
        <f t="shared" si="5"/>
        <v>51324</v>
      </c>
      <c r="R45" s="8">
        <f t="shared" si="6"/>
        <v>0</v>
      </c>
      <c r="S45" s="8">
        <f t="shared" si="7"/>
        <v>0</v>
      </c>
      <c r="T45" s="8">
        <f t="shared" si="8"/>
        <v>0</v>
      </c>
      <c r="U45" s="8">
        <f t="shared" si="9"/>
        <v>0</v>
      </c>
      <c r="Z45"/>
    </row>
    <row r="46" spans="1:26" s="100" customFormat="1" ht="12.75" customHeight="1" x14ac:dyDescent="0.25">
      <c r="A46" s="7"/>
      <c r="C46" s="115" t="s">
        <v>77</v>
      </c>
      <c r="D46" s="109" t="s">
        <v>4</v>
      </c>
      <c r="E46" s="109" t="s">
        <v>1</v>
      </c>
      <c r="F46" s="110" t="s">
        <v>219</v>
      </c>
      <c r="G46" s="3"/>
      <c r="H46" s="111">
        <v>122.2</v>
      </c>
      <c r="I46" s="12" t="s">
        <v>41</v>
      </c>
      <c r="J46" s="3"/>
      <c r="K46" s="112">
        <v>315</v>
      </c>
      <c r="L46" s="112"/>
      <c r="M46" s="112"/>
      <c r="N46" s="112"/>
      <c r="O46" s="112"/>
      <c r="P46" s="3"/>
      <c r="Q46" s="8">
        <f t="shared" ref="Q46:Q47" si="10">K46*$H46</f>
        <v>38493</v>
      </c>
      <c r="R46" s="8">
        <f t="shared" ref="R46:R47" si="11">L46*$H46</f>
        <v>0</v>
      </c>
      <c r="S46" s="8">
        <f t="shared" ref="S46:S47" si="12">M46*$H46</f>
        <v>0</v>
      </c>
      <c r="T46" s="8">
        <f t="shared" ref="T46:T47" si="13">N46*$H46</f>
        <v>0</v>
      </c>
      <c r="U46" s="8">
        <f t="shared" ref="U46:U47" si="14">O46*$H46</f>
        <v>0</v>
      </c>
      <c r="Z46"/>
    </row>
    <row r="47" spans="1:26" s="100" customFormat="1" ht="12.75" customHeight="1" x14ac:dyDescent="0.25">
      <c r="A47" s="7"/>
      <c r="C47" s="115" t="s">
        <v>78</v>
      </c>
      <c r="D47" s="109" t="s">
        <v>4</v>
      </c>
      <c r="E47" s="109" t="s">
        <v>1</v>
      </c>
      <c r="F47" s="110" t="s">
        <v>219</v>
      </c>
      <c r="G47" s="3"/>
      <c r="H47" s="111">
        <v>122.2</v>
      </c>
      <c r="I47" s="12" t="s">
        <v>41</v>
      </c>
      <c r="J47" s="3"/>
      <c r="K47" s="112">
        <v>840</v>
      </c>
      <c r="L47" s="112"/>
      <c r="M47" s="112"/>
      <c r="N47" s="112"/>
      <c r="O47" s="112"/>
      <c r="P47" s="3"/>
      <c r="Q47" s="8">
        <f t="shared" si="10"/>
        <v>102648</v>
      </c>
      <c r="R47" s="8">
        <f t="shared" si="11"/>
        <v>0</v>
      </c>
      <c r="S47" s="8">
        <f t="shared" si="12"/>
        <v>0</v>
      </c>
      <c r="T47" s="8">
        <f t="shared" si="13"/>
        <v>0</v>
      </c>
      <c r="U47" s="8">
        <f t="shared" si="14"/>
        <v>0</v>
      </c>
      <c r="Z47"/>
    </row>
    <row r="48" spans="1:26" s="100" customFormat="1" ht="12.75" customHeight="1" x14ac:dyDescent="0.25">
      <c r="A48" s="7"/>
      <c r="C48" s="115" t="s">
        <v>195</v>
      </c>
      <c r="D48" s="109" t="s">
        <v>4</v>
      </c>
      <c r="E48" s="109" t="s">
        <v>1</v>
      </c>
      <c r="F48" s="110" t="s">
        <v>220</v>
      </c>
      <c r="G48" s="3"/>
      <c r="H48" s="111">
        <v>122.2</v>
      </c>
      <c r="I48" s="12" t="s">
        <v>41</v>
      </c>
      <c r="J48" s="3"/>
      <c r="K48" s="112">
        <v>900</v>
      </c>
      <c r="L48" s="112">
        <v>974.99999999999977</v>
      </c>
      <c r="M48" s="112">
        <v>1425</v>
      </c>
      <c r="N48" s="112">
        <v>900</v>
      </c>
      <c r="O48" s="112">
        <v>900</v>
      </c>
      <c r="P48" s="3"/>
      <c r="Q48" s="8">
        <f t="shared" ref="Q48:Q60" si="15">K48*$H48</f>
        <v>109980</v>
      </c>
      <c r="R48" s="8">
        <f t="shared" ref="R48:R60" si="16">L48*$H48</f>
        <v>119144.99999999997</v>
      </c>
      <c r="S48" s="8">
        <f t="shared" ref="S48:S60" si="17">M48*$H48</f>
        <v>174135</v>
      </c>
      <c r="T48" s="8">
        <f t="shared" ref="T48:T60" si="18">N48*$H48</f>
        <v>109980</v>
      </c>
      <c r="U48" s="8">
        <f t="shared" ref="U48:U60" si="19">O48*$H48</f>
        <v>109980</v>
      </c>
      <c r="Z48"/>
    </row>
    <row r="49" spans="1:26" s="100" customFormat="1" ht="12.75" customHeight="1" x14ac:dyDescent="0.25">
      <c r="A49" s="7"/>
      <c r="C49" s="115" t="s">
        <v>196</v>
      </c>
      <c r="D49" s="109" t="s">
        <v>4</v>
      </c>
      <c r="E49" s="109" t="s">
        <v>1</v>
      </c>
      <c r="F49" s="110" t="s">
        <v>220</v>
      </c>
      <c r="G49" s="3"/>
      <c r="H49" s="111">
        <v>122.2</v>
      </c>
      <c r="I49" s="12" t="s">
        <v>41</v>
      </c>
      <c r="J49" s="3"/>
      <c r="K49" s="112">
        <v>180</v>
      </c>
      <c r="L49" s="112">
        <v>555</v>
      </c>
      <c r="M49" s="112">
        <v>1364.9999999999998</v>
      </c>
      <c r="N49" s="112">
        <v>187.5</v>
      </c>
      <c r="O49" s="112">
        <v>180</v>
      </c>
      <c r="P49" s="3"/>
      <c r="Q49" s="8">
        <f t="shared" si="15"/>
        <v>21996</v>
      </c>
      <c r="R49" s="8">
        <f t="shared" si="16"/>
        <v>67821</v>
      </c>
      <c r="S49" s="8">
        <f t="shared" si="17"/>
        <v>166802.99999999997</v>
      </c>
      <c r="T49" s="8">
        <f t="shared" si="18"/>
        <v>22912.5</v>
      </c>
      <c r="U49" s="8">
        <f t="shared" si="19"/>
        <v>21996</v>
      </c>
      <c r="Z49"/>
    </row>
    <row r="50" spans="1:26" s="100" customFormat="1" ht="12.75" customHeight="1" x14ac:dyDescent="0.25">
      <c r="A50" s="7"/>
      <c r="C50" s="115" t="s">
        <v>197</v>
      </c>
      <c r="D50" s="109" t="s">
        <v>4</v>
      </c>
      <c r="E50" s="109" t="s">
        <v>1</v>
      </c>
      <c r="F50" s="110" t="s">
        <v>220</v>
      </c>
      <c r="G50" s="3"/>
      <c r="H50" s="111">
        <v>122.2</v>
      </c>
      <c r="I50" s="12" t="s">
        <v>41</v>
      </c>
      <c r="J50" s="3"/>
      <c r="K50" s="112">
        <v>900</v>
      </c>
      <c r="L50" s="112">
        <v>1875</v>
      </c>
      <c r="M50" s="112">
        <v>4125</v>
      </c>
      <c r="N50" s="112">
        <v>900</v>
      </c>
      <c r="O50" s="112">
        <v>900</v>
      </c>
      <c r="P50" s="3"/>
      <c r="Q50" s="8">
        <f t="shared" si="15"/>
        <v>109980</v>
      </c>
      <c r="R50" s="8">
        <f t="shared" si="16"/>
        <v>229125</v>
      </c>
      <c r="S50" s="8">
        <f t="shared" si="17"/>
        <v>504075</v>
      </c>
      <c r="T50" s="8">
        <f t="shared" si="18"/>
        <v>109980</v>
      </c>
      <c r="U50" s="8">
        <f t="shared" si="19"/>
        <v>109980</v>
      </c>
      <c r="Z50"/>
    </row>
    <row r="51" spans="1:26" s="100" customFormat="1" ht="12.75" customHeight="1" x14ac:dyDescent="0.25">
      <c r="A51" s="7"/>
      <c r="C51" s="115" t="s">
        <v>198</v>
      </c>
      <c r="D51" s="109" t="s">
        <v>4</v>
      </c>
      <c r="E51" s="109" t="s">
        <v>1</v>
      </c>
      <c r="F51" s="110" t="s">
        <v>220</v>
      </c>
      <c r="G51" s="3"/>
      <c r="H51" s="111">
        <v>122.2</v>
      </c>
      <c r="I51" s="12" t="s">
        <v>41</v>
      </c>
      <c r="J51" s="3"/>
      <c r="K51" s="112"/>
      <c r="L51" s="112">
        <v>450</v>
      </c>
      <c r="M51" s="112">
        <v>1350</v>
      </c>
      <c r="N51" s="112"/>
      <c r="O51" s="112"/>
      <c r="P51" s="3"/>
      <c r="Q51" s="8">
        <f t="shared" si="15"/>
        <v>0</v>
      </c>
      <c r="R51" s="8">
        <f t="shared" si="16"/>
        <v>54990</v>
      </c>
      <c r="S51" s="8">
        <f t="shared" si="17"/>
        <v>164970</v>
      </c>
      <c r="T51" s="8">
        <f t="shared" si="18"/>
        <v>0</v>
      </c>
      <c r="U51" s="8">
        <f t="shared" si="19"/>
        <v>0</v>
      </c>
      <c r="Z51"/>
    </row>
    <row r="52" spans="1:26" s="100" customFormat="1" ht="12.75" customHeight="1" x14ac:dyDescent="0.25">
      <c r="A52" s="7"/>
      <c r="C52" s="115" t="s">
        <v>199</v>
      </c>
      <c r="D52" s="109" t="s">
        <v>4</v>
      </c>
      <c r="E52" s="109" t="s">
        <v>1</v>
      </c>
      <c r="F52" s="110" t="s">
        <v>220</v>
      </c>
      <c r="G52" s="3"/>
      <c r="H52" s="111">
        <v>122.2</v>
      </c>
      <c r="I52" s="12" t="s">
        <v>41</v>
      </c>
      <c r="J52" s="3"/>
      <c r="K52" s="112">
        <v>900</v>
      </c>
      <c r="L52" s="112">
        <v>2325</v>
      </c>
      <c r="M52" s="112">
        <v>5475</v>
      </c>
      <c r="N52" s="112">
        <v>900</v>
      </c>
      <c r="O52" s="112">
        <v>900</v>
      </c>
      <c r="P52" s="3"/>
      <c r="Q52" s="8">
        <f t="shared" si="15"/>
        <v>109980</v>
      </c>
      <c r="R52" s="8">
        <f t="shared" si="16"/>
        <v>284115</v>
      </c>
      <c r="S52" s="8">
        <f t="shared" si="17"/>
        <v>669045</v>
      </c>
      <c r="T52" s="8">
        <f t="shared" si="18"/>
        <v>109980</v>
      </c>
      <c r="U52" s="8">
        <f t="shared" si="19"/>
        <v>109980</v>
      </c>
      <c r="Z52"/>
    </row>
    <row r="53" spans="1:26" s="100" customFormat="1" ht="12.75" customHeight="1" x14ac:dyDescent="0.25">
      <c r="A53" s="7"/>
      <c r="C53" s="115" t="s">
        <v>200</v>
      </c>
      <c r="D53" s="109" t="s">
        <v>4</v>
      </c>
      <c r="E53" s="109" t="s">
        <v>1</v>
      </c>
      <c r="F53" s="110" t="s">
        <v>220</v>
      </c>
      <c r="G53" s="3"/>
      <c r="H53" s="111">
        <v>122.2</v>
      </c>
      <c r="I53" s="12" t="s">
        <v>41</v>
      </c>
      <c r="J53" s="3"/>
      <c r="K53" s="112"/>
      <c r="L53" s="112">
        <v>450</v>
      </c>
      <c r="M53" s="112">
        <v>1350</v>
      </c>
      <c r="N53" s="112"/>
      <c r="O53" s="112"/>
      <c r="P53" s="3"/>
      <c r="Q53" s="8">
        <f t="shared" si="15"/>
        <v>0</v>
      </c>
      <c r="R53" s="8">
        <f t="shared" si="16"/>
        <v>54990</v>
      </c>
      <c r="S53" s="8">
        <f t="shared" si="17"/>
        <v>164970</v>
      </c>
      <c r="T53" s="8">
        <f t="shared" si="18"/>
        <v>0</v>
      </c>
      <c r="U53" s="8">
        <f t="shared" si="19"/>
        <v>0</v>
      </c>
      <c r="Z53"/>
    </row>
    <row r="54" spans="1:26" s="100" customFormat="1" ht="12.75" customHeight="1" x14ac:dyDescent="0.25">
      <c r="A54" s="7"/>
      <c r="C54" s="115" t="s">
        <v>201</v>
      </c>
      <c r="D54" s="109" t="s">
        <v>4</v>
      </c>
      <c r="E54" s="109" t="s">
        <v>1</v>
      </c>
      <c r="F54" s="110" t="s">
        <v>220</v>
      </c>
      <c r="G54" s="3"/>
      <c r="H54" s="111">
        <v>122.2</v>
      </c>
      <c r="I54" s="12" t="s">
        <v>41</v>
      </c>
      <c r="J54" s="3"/>
      <c r="K54" s="112">
        <v>900</v>
      </c>
      <c r="L54" s="112">
        <v>2025</v>
      </c>
      <c r="M54" s="112">
        <v>5475</v>
      </c>
      <c r="N54" s="112">
        <v>900</v>
      </c>
      <c r="O54" s="112">
        <v>900</v>
      </c>
      <c r="P54" s="3"/>
      <c r="Q54" s="8">
        <f t="shared" si="15"/>
        <v>109980</v>
      </c>
      <c r="R54" s="8">
        <f t="shared" si="16"/>
        <v>247455</v>
      </c>
      <c r="S54" s="8">
        <f t="shared" si="17"/>
        <v>669045</v>
      </c>
      <c r="T54" s="8">
        <f t="shared" si="18"/>
        <v>109980</v>
      </c>
      <c r="U54" s="8">
        <f t="shared" si="19"/>
        <v>109980</v>
      </c>
      <c r="Z54"/>
    </row>
    <row r="55" spans="1:26" s="100" customFormat="1" ht="12.75" customHeight="1" x14ac:dyDescent="0.25">
      <c r="A55" s="7"/>
      <c r="C55" s="115" t="s">
        <v>79</v>
      </c>
      <c r="D55" s="109" t="s">
        <v>4</v>
      </c>
      <c r="E55" s="109" t="s">
        <v>1</v>
      </c>
      <c r="F55" s="110" t="s">
        <v>219</v>
      </c>
      <c r="G55" s="3"/>
      <c r="H55" s="111">
        <v>122.2</v>
      </c>
      <c r="I55" s="12" t="s">
        <v>41</v>
      </c>
      <c r="J55" s="3"/>
      <c r="K55" s="112"/>
      <c r="L55" s="112"/>
      <c r="M55" s="112">
        <v>600</v>
      </c>
      <c r="N55" s="112"/>
      <c r="O55" s="112"/>
      <c r="P55" s="3"/>
      <c r="Q55" s="8">
        <f t="shared" si="15"/>
        <v>0</v>
      </c>
      <c r="R55" s="8">
        <f t="shared" si="16"/>
        <v>0</v>
      </c>
      <c r="S55" s="8">
        <f t="shared" si="17"/>
        <v>73320</v>
      </c>
      <c r="T55" s="8">
        <f t="shared" si="18"/>
        <v>0</v>
      </c>
      <c r="U55" s="8">
        <f t="shared" si="19"/>
        <v>0</v>
      </c>
      <c r="Z55"/>
    </row>
    <row r="56" spans="1:26" s="100" customFormat="1" ht="12.75" customHeight="1" x14ac:dyDescent="0.25">
      <c r="A56" s="7"/>
      <c r="C56" s="115" t="s">
        <v>80</v>
      </c>
      <c r="D56" s="109" t="s">
        <v>4</v>
      </c>
      <c r="E56" s="109" t="s">
        <v>1</v>
      </c>
      <c r="F56" s="110" t="s">
        <v>219</v>
      </c>
      <c r="G56" s="3"/>
      <c r="H56" s="111">
        <v>122.2</v>
      </c>
      <c r="I56" s="12" t="s">
        <v>41</v>
      </c>
      <c r="J56" s="3"/>
      <c r="K56" s="112"/>
      <c r="L56" s="112"/>
      <c r="M56" s="112">
        <v>800</v>
      </c>
      <c r="N56" s="112"/>
      <c r="O56" s="112"/>
      <c r="P56" s="3"/>
      <c r="Q56" s="8">
        <f t="shared" si="15"/>
        <v>0</v>
      </c>
      <c r="R56" s="8">
        <f t="shared" si="16"/>
        <v>0</v>
      </c>
      <c r="S56" s="8">
        <f t="shared" si="17"/>
        <v>97760</v>
      </c>
      <c r="T56" s="8">
        <f t="shared" si="18"/>
        <v>0</v>
      </c>
      <c r="U56" s="8">
        <f t="shared" si="19"/>
        <v>0</v>
      </c>
      <c r="Z56"/>
    </row>
    <row r="57" spans="1:26" s="100" customFormat="1" ht="12.75" customHeight="1" x14ac:dyDescent="0.25">
      <c r="A57" s="7"/>
      <c r="C57" s="115" t="s">
        <v>81</v>
      </c>
      <c r="D57" s="109" t="s">
        <v>4</v>
      </c>
      <c r="E57" s="109" t="s">
        <v>1</v>
      </c>
      <c r="F57" s="110" t="s">
        <v>219</v>
      </c>
      <c r="G57" s="3"/>
      <c r="H57" s="111">
        <v>122.2</v>
      </c>
      <c r="I57" s="12" t="s">
        <v>41</v>
      </c>
      <c r="J57" s="3"/>
      <c r="K57" s="112"/>
      <c r="L57" s="112"/>
      <c r="M57" s="112">
        <v>1200</v>
      </c>
      <c r="N57" s="112"/>
      <c r="O57" s="112"/>
      <c r="P57" s="3"/>
      <c r="Q57" s="8">
        <f t="shared" si="15"/>
        <v>0</v>
      </c>
      <c r="R57" s="8">
        <f t="shared" si="16"/>
        <v>0</v>
      </c>
      <c r="S57" s="8">
        <f t="shared" si="17"/>
        <v>146640</v>
      </c>
      <c r="T57" s="8">
        <f t="shared" si="18"/>
        <v>0</v>
      </c>
      <c r="U57" s="8">
        <f t="shared" si="19"/>
        <v>0</v>
      </c>
      <c r="Z57"/>
    </row>
    <row r="58" spans="1:26" s="100" customFormat="1" ht="12.75" customHeight="1" x14ac:dyDescent="0.25">
      <c r="A58" s="7"/>
      <c r="C58" s="115" t="s">
        <v>82</v>
      </c>
      <c r="D58" s="109" t="s">
        <v>4</v>
      </c>
      <c r="E58" s="109" t="s">
        <v>1</v>
      </c>
      <c r="F58" s="110" t="s">
        <v>219</v>
      </c>
      <c r="G58" s="3"/>
      <c r="H58" s="111">
        <v>122.2</v>
      </c>
      <c r="I58" s="12" t="s">
        <v>41</v>
      </c>
      <c r="J58" s="3"/>
      <c r="K58" s="112"/>
      <c r="L58" s="112"/>
      <c r="M58" s="112">
        <v>2500</v>
      </c>
      <c r="N58" s="112"/>
      <c r="O58" s="112"/>
      <c r="P58" s="3"/>
      <c r="Q58" s="8">
        <f t="shared" si="15"/>
        <v>0</v>
      </c>
      <c r="R58" s="8">
        <f t="shared" si="16"/>
        <v>0</v>
      </c>
      <c r="S58" s="8">
        <f t="shared" si="17"/>
        <v>305500</v>
      </c>
      <c r="T58" s="8">
        <f t="shared" si="18"/>
        <v>0</v>
      </c>
      <c r="U58" s="8">
        <f t="shared" si="19"/>
        <v>0</v>
      </c>
      <c r="Z58"/>
    </row>
    <row r="59" spans="1:26" s="100" customFormat="1" ht="12.75" customHeight="1" x14ac:dyDescent="0.25">
      <c r="A59" s="7"/>
      <c r="C59" s="115" t="s">
        <v>83</v>
      </c>
      <c r="D59" s="109" t="s">
        <v>4</v>
      </c>
      <c r="E59" s="109" t="s">
        <v>1</v>
      </c>
      <c r="F59" s="110" t="s">
        <v>219</v>
      </c>
      <c r="G59" s="3"/>
      <c r="H59" s="111">
        <v>122.2</v>
      </c>
      <c r="I59" s="12" t="s">
        <v>41</v>
      </c>
      <c r="J59" s="3"/>
      <c r="K59" s="112"/>
      <c r="L59" s="112"/>
      <c r="M59" s="112">
        <v>2500</v>
      </c>
      <c r="N59" s="112"/>
      <c r="O59" s="112"/>
      <c r="P59" s="3"/>
      <c r="Q59" s="8">
        <f t="shared" si="15"/>
        <v>0</v>
      </c>
      <c r="R59" s="8">
        <f t="shared" si="16"/>
        <v>0</v>
      </c>
      <c r="S59" s="8">
        <f t="shared" si="17"/>
        <v>305500</v>
      </c>
      <c r="T59" s="8">
        <f t="shared" si="18"/>
        <v>0</v>
      </c>
      <c r="U59" s="8">
        <f t="shared" si="19"/>
        <v>0</v>
      </c>
      <c r="Z59"/>
    </row>
    <row r="60" spans="1:26" s="100" customFormat="1" ht="12.75" customHeight="1" x14ac:dyDescent="0.25">
      <c r="A60" s="7"/>
      <c r="C60" s="115" t="s">
        <v>84</v>
      </c>
      <c r="D60" s="109" t="s">
        <v>4</v>
      </c>
      <c r="E60" s="109" t="s">
        <v>1</v>
      </c>
      <c r="F60" s="110" t="s">
        <v>219</v>
      </c>
      <c r="G60" s="3"/>
      <c r="H60" s="111">
        <v>122.2</v>
      </c>
      <c r="I60" s="12" t="s">
        <v>41</v>
      </c>
      <c r="J60" s="3"/>
      <c r="K60" s="112"/>
      <c r="L60" s="112"/>
      <c r="M60" s="112">
        <v>2500</v>
      </c>
      <c r="N60" s="112"/>
      <c r="O60" s="112"/>
      <c r="P60" s="3"/>
      <c r="Q60" s="8">
        <f t="shared" si="15"/>
        <v>0</v>
      </c>
      <c r="R60" s="8">
        <f t="shared" si="16"/>
        <v>0</v>
      </c>
      <c r="S60" s="8">
        <f t="shared" si="17"/>
        <v>305500</v>
      </c>
      <c r="T60" s="8">
        <f t="shared" si="18"/>
        <v>0</v>
      </c>
      <c r="U60" s="8">
        <f t="shared" si="19"/>
        <v>0</v>
      </c>
      <c r="Z60"/>
    </row>
    <row r="61" spans="1:26" s="100" customFormat="1" ht="12.75" customHeight="1" x14ac:dyDescent="0.25">
      <c r="A61" s="7"/>
      <c r="C61" s="115"/>
      <c r="D61" s="109"/>
      <c r="E61" s="109"/>
      <c r="F61" s="110"/>
      <c r="G61" s="3"/>
      <c r="H61" s="111"/>
      <c r="I61" s="12"/>
      <c r="J61" s="3"/>
      <c r="K61" s="112"/>
      <c r="L61" s="112"/>
      <c r="M61" s="112"/>
      <c r="N61" s="112"/>
      <c r="O61" s="112"/>
      <c r="P61" s="3"/>
      <c r="Q61" s="8"/>
      <c r="R61" s="8"/>
      <c r="S61" s="8"/>
      <c r="T61" s="8"/>
      <c r="U61" s="8"/>
      <c r="Z61"/>
    </row>
    <row r="62" spans="1:26" s="100" customFormat="1" ht="12.75" customHeight="1" x14ac:dyDescent="0.25">
      <c r="A62" s="7"/>
      <c r="C62" s="115"/>
      <c r="D62" s="109"/>
      <c r="E62" s="109"/>
      <c r="F62" s="110"/>
      <c r="G62" s="3"/>
      <c r="H62" s="111"/>
      <c r="I62" s="12"/>
      <c r="J62" s="3"/>
      <c r="K62" s="112"/>
      <c r="L62" s="112"/>
      <c r="M62" s="112"/>
      <c r="N62" s="112"/>
      <c r="O62" s="112"/>
      <c r="P62" s="3"/>
      <c r="Q62" s="8"/>
      <c r="R62" s="8"/>
      <c r="S62" s="8"/>
      <c r="T62" s="8"/>
      <c r="U62" s="8"/>
      <c r="Z62"/>
    </row>
    <row r="63" spans="1:26" s="100" customFormat="1" ht="12.75" customHeight="1" x14ac:dyDescent="0.25">
      <c r="A63" s="7"/>
      <c r="C63" s="115"/>
      <c r="D63" s="109"/>
      <c r="E63" s="109"/>
      <c r="F63" s="110"/>
      <c r="G63" s="3"/>
      <c r="H63" s="111"/>
      <c r="I63" s="12"/>
      <c r="J63" s="3"/>
      <c r="K63" s="112"/>
      <c r="L63" s="112"/>
      <c r="M63" s="112"/>
      <c r="N63" s="112"/>
      <c r="O63" s="112"/>
      <c r="P63" s="3"/>
      <c r="Q63" s="8"/>
      <c r="R63" s="8"/>
      <c r="S63" s="8"/>
      <c r="T63" s="8"/>
      <c r="U63" s="8"/>
      <c r="Z63"/>
    </row>
    <row r="64" spans="1:26" s="100" customFormat="1" ht="12.75" customHeight="1" x14ac:dyDescent="0.25">
      <c r="A64" s="7"/>
      <c r="C64" s="115"/>
      <c r="D64" s="109"/>
      <c r="E64" s="109"/>
      <c r="F64" s="110"/>
      <c r="G64" s="3"/>
      <c r="H64" s="111"/>
      <c r="I64" s="12"/>
      <c r="J64" s="3"/>
      <c r="K64" s="112"/>
      <c r="L64" s="112"/>
      <c r="M64" s="112"/>
      <c r="N64" s="112"/>
      <c r="O64" s="112"/>
      <c r="P64" s="3"/>
      <c r="Q64" s="8"/>
      <c r="R64" s="8"/>
      <c r="S64" s="8"/>
      <c r="T64" s="8"/>
      <c r="U64" s="8"/>
      <c r="Z64"/>
    </row>
    <row r="65" spans="1:26" s="100" customFormat="1" ht="12.75" customHeight="1" x14ac:dyDescent="0.25">
      <c r="A65" s="7"/>
      <c r="C65" s="115"/>
      <c r="D65" s="109"/>
      <c r="E65" s="109"/>
      <c r="F65" s="110"/>
      <c r="G65" s="3"/>
      <c r="H65" s="111"/>
      <c r="I65" s="12"/>
      <c r="J65" s="3"/>
      <c r="K65" s="112"/>
      <c r="L65" s="112"/>
      <c r="M65" s="112"/>
      <c r="N65" s="112"/>
      <c r="O65" s="112"/>
      <c r="P65" s="3"/>
      <c r="Q65" s="8"/>
      <c r="R65" s="8"/>
      <c r="S65" s="8"/>
      <c r="T65" s="8"/>
      <c r="U65" s="8"/>
      <c r="Z65"/>
    </row>
    <row r="66" spans="1:26" s="100" customFormat="1" ht="12.75" customHeight="1" x14ac:dyDescent="0.25">
      <c r="A66" s="7"/>
      <c r="C66" s="115"/>
      <c r="D66" s="109"/>
      <c r="E66" s="109"/>
      <c r="F66" s="110"/>
      <c r="G66" s="3"/>
      <c r="H66" s="111"/>
      <c r="I66" s="12"/>
      <c r="J66" s="3"/>
      <c r="K66" s="112"/>
      <c r="L66" s="112"/>
      <c r="M66" s="112"/>
      <c r="N66" s="112"/>
      <c r="O66" s="112"/>
      <c r="P66" s="3"/>
      <c r="Q66" s="8"/>
      <c r="R66" s="8"/>
      <c r="S66" s="8"/>
      <c r="T66" s="8"/>
      <c r="U66" s="8"/>
      <c r="Z66"/>
    </row>
    <row r="67" spans="1:26" s="100" customFormat="1" ht="12.75" customHeight="1" x14ac:dyDescent="0.25">
      <c r="A67" s="7"/>
      <c r="C67" s="115"/>
      <c r="D67" s="109"/>
      <c r="E67" s="109"/>
      <c r="F67" s="110"/>
      <c r="G67" s="3"/>
      <c r="H67" s="111"/>
      <c r="I67" s="12"/>
      <c r="J67" s="3"/>
      <c r="K67" s="112"/>
      <c r="L67" s="112"/>
      <c r="M67" s="112"/>
      <c r="N67" s="112"/>
      <c r="O67" s="112"/>
      <c r="P67" s="3"/>
      <c r="Q67" s="8"/>
      <c r="R67" s="8"/>
      <c r="S67" s="8"/>
      <c r="T67" s="8"/>
      <c r="U67" s="8"/>
      <c r="Z67"/>
    </row>
    <row r="68" spans="1:26" s="100" customFormat="1" ht="12.75" customHeight="1" x14ac:dyDescent="0.25">
      <c r="A68" s="7"/>
      <c r="C68" s="115"/>
      <c r="D68" s="109"/>
      <c r="E68" s="109"/>
      <c r="F68" s="110"/>
      <c r="G68" s="3"/>
      <c r="H68" s="111"/>
      <c r="I68" s="12"/>
      <c r="J68" s="3"/>
      <c r="K68" s="112"/>
      <c r="L68" s="112"/>
      <c r="M68" s="112"/>
      <c r="N68" s="112"/>
      <c r="O68" s="112"/>
      <c r="P68" s="3"/>
      <c r="Q68" s="8"/>
      <c r="R68" s="8"/>
      <c r="S68" s="8"/>
      <c r="T68" s="8"/>
      <c r="U68" s="8"/>
      <c r="Z68"/>
    </row>
    <row r="69" spans="1:26" s="100" customFormat="1" ht="12.75" customHeight="1" x14ac:dyDescent="0.25">
      <c r="A69" s="7"/>
      <c r="C69" s="115"/>
      <c r="D69" s="109"/>
      <c r="E69" s="109"/>
      <c r="F69" s="110"/>
      <c r="G69" s="3"/>
      <c r="H69" s="111"/>
      <c r="I69" s="12"/>
      <c r="J69" s="3"/>
      <c r="K69" s="112"/>
      <c r="L69" s="112"/>
      <c r="M69" s="112"/>
      <c r="N69" s="112"/>
      <c r="O69" s="112"/>
      <c r="P69" s="3"/>
      <c r="Q69" s="8"/>
      <c r="R69" s="8"/>
      <c r="S69" s="8"/>
      <c r="T69" s="8"/>
      <c r="U69" s="8"/>
      <c r="Z69"/>
    </row>
    <row r="70" spans="1:26" ht="12.75" customHeight="1" x14ac:dyDescent="0.25">
      <c r="A70" s="7"/>
      <c r="C70" s="100"/>
      <c r="D70" s="100"/>
      <c r="E70" s="100"/>
      <c r="G70" s="3"/>
      <c r="H70" s="100"/>
      <c r="J70" s="3"/>
      <c r="K70" s="100"/>
      <c r="L70" s="100"/>
      <c r="M70" s="100"/>
      <c r="N70" s="100"/>
      <c r="O70" s="100"/>
      <c r="P70" s="3"/>
      <c r="Z70"/>
    </row>
    <row r="71" spans="1:26" ht="12.75" customHeight="1" x14ac:dyDescent="0.25">
      <c r="A71" s="7"/>
      <c r="C71" s="100"/>
      <c r="D71" s="100"/>
      <c r="E71" s="100"/>
      <c r="G71" s="3"/>
      <c r="H71" s="100"/>
      <c r="J71" s="3"/>
      <c r="K71" s="100"/>
      <c r="L71" s="100"/>
      <c r="M71" s="100"/>
      <c r="N71" s="100"/>
      <c r="O71" s="100"/>
      <c r="P71" s="3"/>
      <c r="Z71"/>
    </row>
    <row r="72" spans="1:26" ht="12.75" customHeight="1" x14ac:dyDescent="0.25">
      <c r="A72" s="7"/>
      <c r="C72" s="108" t="s">
        <v>85</v>
      </c>
      <c r="D72" s="109" t="s">
        <v>4</v>
      </c>
      <c r="E72" s="109" t="s">
        <v>0</v>
      </c>
      <c r="F72" s="110" t="s">
        <v>219</v>
      </c>
      <c r="G72" s="3"/>
      <c r="H72" s="123">
        <v>35000</v>
      </c>
      <c r="I72" s="12" t="s">
        <v>42</v>
      </c>
      <c r="J72" s="3"/>
      <c r="K72" s="112">
        <v>1</v>
      </c>
      <c r="L72" s="112"/>
      <c r="M72" s="112"/>
      <c r="N72" s="112"/>
      <c r="O72" s="112"/>
      <c r="P72" s="3"/>
      <c r="Q72" s="8">
        <f t="shared" ref="Q72" si="20">K72*$H72</f>
        <v>35000</v>
      </c>
      <c r="R72" s="8">
        <f t="shared" ref="R72" si="21">L72*$H72</f>
        <v>0</v>
      </c>
      <c r="S72" s="8">
        <f t="shared" ref="S72" si="22">M72*$H72</f>
        <v>0</v>
      </c>
      <c r="T72" s="8">
        <f t="shared" ref="T72" si="23">N72*$H72</f>
        <v>0</v>
      </c>
      <c r="U72" s="8">
        <f t="shared" ref="U72" si="24">O72*$H72</f>
        <v>0</v>
      </c>
      <c r="Z72"/>
    </row>
    <row r="73" spans="1:26" s="100" customFormat="1" ht="12.75" customHeight="1" x14ac:dyDescent="0.25">
      <c r="A73" s="7"/>
      <c r="C73" s="108" t="s">
        <v>86</v>
      </c>
      <c r="D73" s="109" t="s">
        <v>4</v>
      </c>
      <c r="E73" s="109" t="s">
        <v>0</v>
      </c>
      <c r="F73" s="110" t="s">
        <v>219</v>
      </c>
      <c r="G73" s="3"/>
      <c r="H73" s="123">
        <v>21000</v>
      </c>
      <c r="I73" s="12" t="s">
        <v>42</v>
      </c>
      <c r="J73" s="3"/>
      <c r="K73" s="112">
        <v>1</v>
      </c>
      <c r="L73" s="112"/>
      <c r="M73" s="112"/>
      <c r="N73" s="112"/>
      <c r="O73" s="112"/>
      <c r="P73" s="3"/>
      <c r="Q73" s="8">
        <f t="shared" ref="Q73:Q75" si="25">K73*$H73</f>
        <v>21000</v>
      </c>
      <c r="R73" s="8">
        <f t="shared" ref="R73:R75" si="26">L73*$H73</f>
        <v>0</v>
      </c>
      <c r="S73" s="8">
        <f t="shared" ref="S73:S75" si="27">M73*$H73</f>
        <v>0</v>
      </c>
      <c r="T73" s="8">
        <f t="shared" ref="T73:T75" si="28">N73*$H73</f>
        <v>0</v>
      </c>
      <c r="U73" s="8">
        <f t="shared" ref="U73:U75" si="29">O73*$H73</f>
        <v>0</v>
      </c>
      <c r="Z73"/>
    </row>
    <row r="74" spans="1:26" s="100" customFormat="1" ht="12.75" customHeight="1" x14ac:dyDescent="0.25">
      <c r="A74" s="7"/>
      <c r="C74" s="108" t="s">
        <v>87</v>
      </c>
      <c r="D74" s="109" t="s">
        <v>4</v>
      </c>
      <c r="E74" s="109" t="s">
        <v>0</v>
      </c>
      <c r="F74" s="110" t="s">
        <v>219</v>
      </c>
      <c r="G74" s="3"/>
      <c r="H74" s="123">
        <v>17500</v>
      </c>
      <c r="I74" s="12" t="s">
        <v>42</v>
      </c>
      <c r="J74" s="3"/>
      <c r="K74" s="112"/>
      <c r="L74" s="112"/>
      <c r="M74" s="112"/>
      <c r="N74" s="112">
        <v>1</v>
      </c>
      <c r="O74" s="112"/>
      <c r="P74" s="3"/>
      <c r="Q74" s="8">
        <f t="shared" si="25"/>
        <v>0</v>
      </c>
      <c r="R74" s="8">
        <f t="shared" si="26"/>
        <v>0</v>
      </c>
      <c r="S74" s="8">
        <f t="shared" si="27"/>
        <v>0</v>
      </c>
      <c r="T74" s="8">
        <f t="shared" si="28"/>
        <v>17500</v>
      </c>
      <c r="U74" s="8">
        <f t="shared" si="29"/>
        <v>0</v>
      </c>
      <c r="Z74"/>
    </row>
    <row r="75" spans="1:26" s="100" customFormat="1" ht="12.75" customHeight="1" x14ac:dyDescent="0.25">
      <c r="A75" s="7"/>
      <c r="C75" s="108" t="s">
        <v>88</v>
      </c>
      <c r="D75" s="109" t="s">
        <v>4</v>
      </c>
      <c r="E75" s="109" t="s">
        <v>0</v>
      </c>
      <c r="F75" s="110" t="s">
        <v>219</v>
      </c>
      <c r="G75" s="3"/>
      <c r="H75" s="123">
        <v>35000</v>
      </c>
      <c r="I75" s="12" t="s">
        <v>42</v>
      </c>
      <c r="J75" s="3"/>
      <c r="K75" s="112">
        <v>1</v>
      </c>
      <c r="L75" s="112"/>
      <c r="M75" s="112"/>
      <c r="N75" s="112"/>
      <c r="O75" s="112"/>
      <c r="P75" s="3"/>
      <c r="Q75" s="8">
        <f t="shared" si="25"/>
        <v>35000</v>
      </c>
      <c r="R75" s="8">
        <f t="shared" si="26"/>
        <v>0</v>
      </c>
      <c r="S75" s="8">
        <f t="shared" si="27"/>
        <v>0</v>
      </c>
      <c r="T75" s="8">
        <f t="shared" si="28"/>
        <v>0</v>
      </c>
      <c r="U75" s="8">
        <f t="shared" si="29"/>
        <v>0</v>
      </c>
      <c r="Z75"/>
    </row>
    <row r="76" spans="1:26" s="100" customFormat="1" ht="12.75" customHeight="1" x14ac:dyDescent="0.25">
      <c r="A76" s="7"/>
      <c r="C76" s="108" t="s">
        <v>89</v>
      </c>
      <c r="D76" s="109" t="s">
        <v>4</v>
      </c>
      <c r="E76" s="109" t="s">
        <v>0</v>
      </c>
      <c r="F76" s="110" t="s">
        <v>219</v>
      </c>
      <c r="G76" s="3"/>
      <c r="H76" s="123">
        <v>70000</v>
      </c>
      <c r="I76" s="12" t="s">
        <v>42</v>
      </c>
      <c r="J76" s="3"/>
      <c r="K76" s="112">
        <v>1</v>
      </c>
      <c r="L76" s="112"/>
      <c r="M76" s="112"/>
      <c r="N76" s="112"/>
      <c r="O76" s="112"/>
      <c r="P76" s="3"/>
      <c r="Q76" s="8">
        <f t="shared" ref="Q76" si="30">K76*$H76</f>
        <v>70000</v>
      </c>
      <c r="R76" s="8">
        <f t="shared" ref="R76" si="31">L76*$H76</f>
        <v>0</v>
      </c>
      <c r="S76" s="8">
        <f t="shared" ref="S76" si="32">M76*$H76</f>
        <v>0</v>
      </c>
      <c r="T76" s="8">
        <f t="shared" ref="T76" si="33">N76*$H76</f>
        <v>0</v>
      </c>
      <c r="U76" s="8">
        <f t="shared" ref="U76" si="34">O76*$H76</f>
        <v>0</v>
      </c>
      <c r="Z76"/>
    </row>
    <row r="77" spans="1:26" s="100" customFormat="1" ht="12.75" customHeight="1" x14ac:dyDescent="0.25">
      <c r="A77" s="7"/>
      <c r="C77" s="115"/>
      <c r="D77" s="109"/>
      <c r="E77" s="109"/>
      <c r="F77" s="110"/>
      <c r="G77" s="3"/>
      <c r="H77" s="123"/>
      <c r="I77" s="12"/>
      <c r="J77" s="3"/>
      <c r="K77" s="112"/>
      <c r="L77" s="112"/>
      <c r="M77" s="112"/>
      <c r="N77" s="112"/>
      <c r="O77" s="112"/>
      <c r="P77" s="3"/>
      <c r="Q77" s="8"/>
      <c r="R77" s="8"/>
      <c r="S77" s="8"/>
      <c r="T77" s="8"/>
      <c r="U77" s="8"/>
      <c r="Z77"/>
    </row>
    <row r="78" spans="1:26" ht="12.75" customHeight="1" x14ac:dyDescent="0.25">
      <c r="A78" s="7"/>
      <c r="C78" s="115"/>
      <c r="D78" s="109"/>
      <c r="E78" s="109"/>
      <c r="F78" s="110"/>
      <c r="G78" s="3"/>
      <c r="H78" s="123"/>
      <c r="J78" s="3"/>
      <c r="K78" s="112"/>
      <c r="L78" s="112"/>
      <c r="M78" s="112"/>
      <c r="N78" s="112"/>
      <c r="O78" s="112"/>
      <c r="P78" s="3"/>
      <c r="Q78" s="8"/>
      <c r="R78" s="8"/>
      <c r="S78" s="8"/>
      <c r="T78" s="8"/>
      <c r="U78" s="8"/>
      <c r="Z78"/>
    </row>
    <row r="79" spans="1:26" ht="12.7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Z79"/>
    </row>
    <row r="80" spans="1:26" ht="12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Z80"/>
    </row>
    <row r="81" spans="1:26" ht="12.75" customHeight="1" x14ac:dyDescent="0.2">
      <c r="A81" s="7"/>
      <c r="C81" s="108"/>
      <c r="D81" s="109"/>
      <c r="E81" s="109"/>
      <c r="F81" s="110"/>
      <c r="G81" s="100"/>
      <c r="H81" s="6"/>
      <c r="I81" s="13" t="s">
        <v>43</v>
      </c>
      <c r="J81" s="100"/>
      <c r="K81" s="113"/>
      <c r="L81" s="114"/>
      <c r="M81" s="113"/>
      <c r="N81" s="114"/>
      <c r="O81" s="113"/>
      <c r="Q81" s="8">
        <f t="shared" ref="Q81" si="35">K81</f>
        <v>0</v>
      </c>
      <c r="R81" s="8">
        <f t="shared" ref="R81" si="36">L81</f>
        <v>0</v>
      </c>
      <c r="S81" s="8">
        <f t="shared" ref="S81" si="37">M81</f>
        <v>0</v>
      </c>
      <c r="T81" s="8">
        <f t="shared" ref="T81" si="38">N81</f>
        <v>0</v>
      </c>
      <c r="U81" s="8">
        <f t="shared" ref="U81" si="39">O81</f>
        <v>0</v>
      </c>
    </row>
    <row r="82" spans="1:26" s="100" customFormat="1" ht="12.75" customHeight="1" x14ac:dyDescent="0.2">
      <c r="A82" s="7"/>
      <c r="C82" s="108"/>
      <c r="D82" s="109"/>
      <c r="E82" s="109"/>
      <c r="F82" s="110"/>
      <c r="H82" s="6"/>
      <c r="I82" s="13" t="s">
        <v>43</v>
      </c>
      <c r="K82" s="113"/>
      <c r="L82" s="114"/>
      <c r="M82" s="113"/>
      <c r="N82" s="114"/>
      <c r="O82" s="113"/>
      <c r="Q82" s="8">
        <f t="shared" ref="Q82:Q84" si="40">K82</f>
        <v>0</v>
      </c>
      <c r="R82" s="8">
        <f t="shared" ref="R82:R84" si="41">L82</f>
        <v>0</v>
      </c>
      <c r="S82" s="8">
        <f t="shared" ref="S82:S84" si="42">M82</f>
        <v>0</v>
      </c>
      <c r="T82" s="8">
        <f t="shared" ref="T82:T84" si="43">N82</f>
        <v>0</v>
      </c>
      <c r="U82" s="8">
        <f t="shared" ref="U82:U84" si="44">O82</f>
        <v>0</v>
      </c>
    </row>
    <row r="83" spans="1:26" s="100" customFormat="1" ht="12.75" customHeight="1" x14ac:dyDescent="0.2">
      <c r="A83" s="7"/>
      <c r="C83" s="108"/>
      <c r="D83" s="109"/>
      <c r="E83" s="109"/>
      <c r="F83" s="110"/>
      <c r="H83" s="6"/>
      <c r="I83" s="13" t="s">
        <v>43</v>
      </c>
      <c r="K83" s="113"/>
      <c r="L83" s="114"/>
      <c r="M83" s="113"/>
      <c r="N83" s="114"/>
      <c r="O83" s="113"/>
      <c r="Q83" s="8">
        <f t="shared" si="40"/>
        <v>0</v>
      </c>
      <c r="R83" s="8">
        <f t="shared" si="41"/>
        <v>0</v>
      </c>
      <c r="S83" s="8">
        <f t="shared" si="42"/>
        <v>0</v>
      </c>
      <c r="T83" s="8">
        <f t="shared" si="43"/>
        <v>0</v>
      </c>
      <c r="U83" s="8">
        <f t="shared" si="44"/>
        <v>0</v>
      </c>
    </row>
    <row r="84" spans="1:26" ht="12.75" customHeight="1" x14ac:dyDescent="0.2">
      <c r="A84" s="7"/>
      <c r="C84" s="108"/>
      <c r="D84" s="109"/>
      <c r="E84" s="109"/>
      <c r="F84" s="110"/>
      <c r="G84" s="100"/>
      <c r="H84" s="6"/>
      <c r="I84" s="13" t="s">
        <v>43</v>
      </c>
      <c r="J84" s="100"/>
      <c r="K84" s="113"/>
      <c r="L84" s="114"/>
      <c r="M84" s="113"/>
      <c r="N84" s="114"/>
      <c r="O84" s="113"/>
      <c r="Q84" s="8">
        <f t="shared" si="40"/>
        <v>0</v>
      </c>
      <c r="R84" s="8">
        <f t="shared" si="41"/>
        <v>0</v>
      </c>
      <c r="S84" s="8">
        <f t="shared" si="42"/>
        <v>0</v>
      </c>
      <c r="T84" s="8">
        <f t="shared" si="43"/>
        <v>0</v>
      </c>
      <c r="U84" s="8">
        <f t="shared" si="44"/>
        <v>0</v>
      </c>
    </row>
    <row r="85" spans="1:26" ht="12.75" customHeight="1" x14ac:dyDescent="0.2">
      <c r="A85" s="7"/>
      <c r="B85" s="100"/>
      <c r="C85" s="108"/>
      <c r="D85" s="109"/>
      <c r="E85" s="109"/>
      <c r="F85" s="110"/>
      <c r="G85" s="100"/>
      <c r="H85" s="6"/>
      <c r="I85" s="13" t="s">
        <v>43</v>
      </c>
      <c r="J85" s="100"/>
      <c r="K85" s="113"/>
      <c r="L85" s="114"/>
      <c r="M85" s="113"/>
      <c r="N85" s="114"/>
      <c r="O85" s="113"/>
      <c r="P85" s="100"/>
      <c r="Q85" s="8">
        <f t="shared" ref="Q85" si="45">K85</f>
        <v>0</v>
      </c>
      <c r="R85" s="8">
        <f t="shared" ref="R85" si="46">L85</f>
        <v>0</v>
      </c>
      <c r="S85" s="8">
        <f t="shared" ref="S85" si="47">M85</f>
        <v>0</v>
      </c>
      <c r="T85" s="8">
        <f t="shared" ref="T85" si="48">N85</f>
        <v>0</v>
      </c>
      <c r="U85" s="8">
        <f t="shared" ref="U85" si="49">O85</f>
        <v>0</v>
      </c>
    </row>
    <row r="86" spans="1:26" ht="12.75" customHeight="1" x14ac:dyDescent="0.25">
      <c r="F86" s="7"/>
      <c r="G86" s="3"/>
      <c r="J86" s="3"/>
      <c r="P86" s="3"/>
      <c r="Z86"/>
    </row>
    <row r="87" spans="1:26" ht="12.75" customHeight="1" x14ac:dyDescent="0.25">
      <c r="G87" s="3"/>
      <c r="J87" s="3"/>
      <c r="P87" s="3"/>
      <c r="Z87"/>
    </row>
    <row r="88" spans="1:26" ht="12.75" customHeight="1" x14ac:dyDescent="0.25">
      <c r="C88" s="5" t="s">
        <v>12</v>
      </c>
      <c r="G88" s="3"/>
      <c r="J88" s="3"/>
      <c r="P88" s="3"/>
      <c r="Z88"/>
    </row>
    <row r="89" spans="1:26" ht="12.75" customHeight="1" x14ac:dyDescent="0.2">
      <c r="C89" s="28" t="s">
        <v>1</v>
      </c>
      <c r="D89" s="28" t="s">
        <v>4</v>
      </c>
      <c r="E89" s="28"/>
      <c r="F89" s="28"/>
      <c r="G89" s="3"/>
      <c r="H89" s="28"/>
      <c r="I89" s="29"/>
      <c r="J89" s="3"/>
      <c r="K89" s="28"/>
      <c r="L89" s="28"/>
      <c r="M89" s="28"/>
      <c r="N89" s="28"/>
      <c r="O89" s="28"/>
      <c r="P89" s="3"/>
      <c r="Q89" s="30">
        <f t="shared" ref="Q89:U94" si="50">SUMIFS(Q$10:Q$84,$E$10:$E$84,$C89,$D$10:$D$84,$D89)</f>
        <v>1812627.1145038167</v>
      </c>
      <c r="R89" s="30">
        <f t="shared" si="50"/>
        <v>1455402</v>
      </c>
      <c r="S89" s="30">
        <f t="shared" si="50"/>
        <v>4068038</v>
      </c>
      <c r="T89" s="30">
        <f t="shared" si="50"/>
        <v>1008150</v>
      </c>
      <c r="U89" s="30">
        <f t="shared" si="50"/>
        <v>461916</v>
      </c>
    </row>
    <row r="90" spans="1:26" ht="12.75" customHeight="1" x14ac:dyDescent="0.2">
      <c r="C90" s="4" t="s">
        <v>0</v>
      </c>
      <c r="D90" s="4" t="s">
        <v>4</v>
      </c>
      <c r="E90" s="4"/>
      <c r="F90" s="4"/>
      <c r="G90" s="3"/>
      <c r="H90" s="4"/>
      <c r="I90" s="13"/>
      <c r="J90" s="3"/>
      <c r="K90" s="4"/>
      <c r="L90" s="4"/>
      <c r="M90" s="4"/>
      <c r="N90" s="4"/>
      <c r="O90" s="4"/>
      <c r="P90" s="3"/>
      <c r="Q90" s="9">
        <f t="shared" si="50"/>
        <v>161000</v>
      </c>
      <c r="R90" s="9">
        <f t="shared" si="50"/>
        <v>0</v>
      </c>
      <c r="S90" s="9">
        <f t="shared" si="50"/>
        <v>0</v>
      </c>
      <c r="T90" s="9">
        <f t="shared" si="50"/>
        <v>17500</v>
      </c>
      <c r="U90" s="9">
        <f t="shared" si="50"/>
        <v>0</v>
      </c>
    </row>
    <row r="91" spans="1:26" ht="12.75" customHeight="1" x14ac:dyDescent="0.2">
      <c r="C91" s="4" t="s">
        <v>3</v>
      </c>
      <c r="D91" s="4" t="s">
        <v>4</v>
      </c>
      <c r="E91" s="4"/>
      <c r="F91" s="4"/>
      <c r="G91" s="3"/>
      <c r="H91" s="4"/>
      <c r="I91" s="13"/>
      <c r="J91" s="3"/>
      <c r="K91" s="4"/>
      <c r="L91" s="4"/>
      <c r="M91" s="4"/>
      <c r="N91" s="4"/>
      <c r="O91" s="4"/>
      <c r="P91" s="3"/>
      <c r="Q91" s="9">
        <f t="shared" si="50"/>
        <v>0</v>
      </c>
      <c r="R91" s="9">
        <f t="shared" si="50"/>
        <v>0</v>
      </c>
      <c r="S91" s="9">
        <f t="shared" si="50"/>
        <v>0</v>
      </c>
      <c r="T91" s="9">
        <f t="shared" si="50"/>
        <v>0</v>
      </c>
      <c r="U91" s="9">
        <f t="shared" si="50"/>
        <v>0</v>
      </c>
    </row>
    <row r="92" spans="1:26" ht="12.75" customHeight="1" x14ac:dyDescent="0.2">
      <c r="C92" s="4" t="s">
        <v>1</v>
      </c>
      <c r="D92" s="4" t="s">
        <v>40</v>
      </c>
      <c r="E92" s="4"/>
      <c r="F92" s="4"/>
      <c r="G92" s="3"/>
      <c r="H92" s="4"/>
      <c r="I92" s="13"/>
      <c r="J92" s="3"/>
      <c r="K92" s="4"/>
      <c r="L92" s="4"/>
      <c r="M92" s="4"/>
      <c r="N92" s="4"/>
      <c r="O92" s="4"/>
      <c r="P92" s="3"/>
      <c r="Q92" s="9">
        <f t="shared" si="50"/>
        <v>0</v>
      </c>
      <c r="R92" s="9">
        <f t="shared" si="50"/>
        <v>0</v>
      </c>
      <c r="S92" s="9">
        <f t="shared" si="50"/>
        <v>0</v>
      </c>
      <c r="T92" s="9">
        <f t="shared" si="50"/>
        <v>0</v>
      </c>
      <c r="U92" s="9">
        <f t="shared" si="50"/>
        <v>0</v>
      </c>
    </row>
    <row r="93" spans="1:26" ht="12.75" customHeight="1" x14ac:dyDescent="0.2">
      <c r="C93" s="4" t="s">
        <v>0</v>
      </c>
      <c r="D93" s="4" t="s">
        <v>40</v>
      </c>
      <c r="E93" s="4"/>
      <c r="F93" s="4"/>
      <c r="G93" s="3"/>
      <c r="H93" s="4"/>
      <c r="I93" s="13"/>
      <c r="J93" s="3"/>
      <c r="K93" s="4"/>
      <c r="L93" s="4"/>
      <c r="M93" s="4"/>
      <c r="N93" s="4"/>
      <c r="O93" s="4"/>
      <c r="P93" s="3"/>
      <c r="Q93" s="9">
        <f t="shared" si="50"/>
        <v>0</v>
      </c>
      <c r="R93" s="9">
        <f t="shared" si="50"/>
        <v>0</v>
      </c>
      <c r="S93" s="9">
        <f t="shared" si="50"/>
        <v>0</v>
      </c>
      <c r="T93" s="9">
        <f t="shared" si="50"/>
        <v>0</v>
      </c>
      <c r="U93" s="9">
        <f t="shared" si="50"/>
        <v>0</v>
      </c>
    </row>
    <row r="94" spans="1:26" ht="12.75" customHeight="1" x14ac:dyDescent="0.2">
      <c r="C94" s="4" t="s">
        <v>3</v>
      </c>
      <c r="D94" s="4" t="s">
        <v>40</v>
      </c>
      <c r="E94" s="7"/>
      <c r="F94" s="7"/>
      <c r="G94" s="3"/>
      <c r="H94" s="7"/>
      <c r="I94" s="31"/>
      <c r="J94" s="3"/>
      <c r="K94" s="7"/>
      <c r="L94" s="7"/>
      <c r="M94" s="7"/>
      <c r="N94" s="7"/>
      <c r="O94" s="7"/>
      <c r="P94" s="3"/>
      <c r="Q94" s="9">
        <f t="shared" si="50"/>
        <v>0</v>
      </c>
      <c r="R94" s="9">
        <f t="shared" si="50"/>
        <v>0</v>
      </c>
      <c r="S94" s="9">
        <f t="shared" si="50"/>
        <v>0</v>
      </c>
      <c r="T94" s="9">
        <f t="shared" si="50"/>
        <v>0</v>
      </c>
      <c r="U94" s="9">
        <f t="shared" si="50"/>
        <v>0</v>
      </c>
    </row>
    <row r="95" spans="1:26" ht="12.75" customHeight="1" x14ac:dyDescent="0.2">
      <c r="C95" s="10" t="str">
        <f>"Total Expenditure ($ "&amp;Assumptions!$B$8&amp;")"</f>
        <v>Total Expenditure ($ 2018)</v>
      </c>
      <c r="D95" s="10"/>
      <c r="E95" s="10"/>
      <c r="F95" s="10"/>
      <c r="G95" s="3"/>
      <c r="H95" s="10"/>
      <c r="I95" s="14"/>
      <c r="J95" s="3"/>
      <c r="K95" s="10"/>
      <c r="L95" s="10"/>
      <c r="M95" s="10"/>
      <c r="N95" s="10"/>
      <c r="O95" s="10"/>
      <c r="P95" s="3"/>
      <c r="Q95" s="11">
        <f>SUM(Q89:Q94)</f>
        <v>1973627.1145038167</v>
      </c>
      <c r="R95" s="11">
        <f t="shared" ref="R95:U95" si="51">SUM(R89:R94)</f>
        <v>1455402</v>
      </c>
      <c r="S95" s="11">
        <f t="shared" si="51"/>
        <v>4068038</v>
      </c>
      <c r="T95" s="11">
        <f t="shared" si="51"/>
        <v>1025650</v>
      </c>
      <c r="U95" s="11">
        <f t="shared" si="51"/>
        <v>461916</v>
      </c>
      <c r="V95" s="44"/>
    </row>
    <row r="96" spans="1:26" ht="12.75" customHeight="1" x14ac:dyDescent="0.2">
      <c r="C96" s="28" t="str">
        <f>"Total Expenditure ($ "&amp;Assumptions!B17&amp;")"</f>
        <v>Total Expenditure ($ 2020/21)</v>
      </c>
      <c r="D96" s="28"/>
      <c r="E96" s="28"/>
      <c r="F96" s="4"/>
      <c r="G96" s="3"/>
      <c r="H96" s="28"/>
      <c r="I96" s="29"/>
      <c r="J96" s="3"/>
      <c r="K96" s="28"/>
      <c r="L96" s="28"/>
      <c r="M96" s="28"/>
      <c r="N96" s="28"/>
      <c r="O96" s="28"/>
      <c r="P96" s="3"/>
      <c r="Q96" s="45">
        <f>Q95*Assumptions!$B$18</f>
        <v>2090156.3967672526</v>
      </c>
      <c r="R96" s="45">
        <f>R95*Assumptions!$B$18</f>
        <v>1541333.6074543325</v>
      </c>
      <c r="S96" s="45">
        <f>S95*Assumptions!$B$18</f>
        <v>4308228.0262094652</v>
      </c>
      <c r="T96" s="45">
        <f>T95*Assumptions!$B$18</f>
        <v>1086207.6694174779</v>
      </c>
      <c r="U96" s="45">
        <f>U95*Assumptions!$B$18</f>
        <v>489189.00387719373</v>
      </c>
      <c r="V96" s="44"/>
      <c r="X96" s="100"/>
    </row>
    <row r="97" spans="3:26" ht="12.75" customHeight="1" x14ac:dyDescent="0.2">
      <c r="C97" s="101" t="s">
        <v>11</v>
      </c>
      <c r="D97" s="101"/>
      <c r="E97" s="101"/>
      <c r="F97" s="101"/>
      <c r="G97" s="3"/>
      <c r="H97" s="101"/>
      <c r="I97" s="101"/>
      <c r="J97" s="3"/>
      <c r="K97" s="101"/>
      <c r="L97" s="101"/>
      <c r="M97" s="101"/>
      <c r="N97" s="101"/>
      <c r="O97" s="101"/>
      <c r="P97" s="3"/>
      <c r="Q97" s="102">
        <f>Q95-SUM(Q81:Q84,Q72:Q78, Q10:Q69)</f>
        <v>0</v>
      </c>
      <c r="R97" s="102">
        <f>R95-SUM(R81:R84,R72:R78, R10:R69)</f>
        <v>0</v>
      </c>
      <c r="S97" s="102">
        <f>S95-SUM(S81:S84,S72:S78, S10:S69)</f>
        <v>0</v>
      </c>
      <c r="T97" s="102">
        <f>T95-SUM(T81:T84,T72:T78, T10:T69)</f>
        <v>0</v>
      </c>
      <c r="U97" s="102">
        <f>U95-SUM(U81:U84,U72:U78, U10:U69)</f>
        <v>0</v>
      </c>
      <c r="W97" s="102">
        <f>SUM(Q97:U97)</f>
        <v>0</v>
      </c>
    </row>
    <row r="98" spans="3:26" ht="12.75" customHeight="1" x14ac:dyDescent="0.2">
      <c r="G98" s="3"/>
      <c r="J98" s="3"/>
      <c r="P98" s="3"/>
    </row>
    <row r="99" spans="3:26" s="100" customFormat="1" ht="12.75" customHeight="1" x14ac:dyDescent="0.2">
      <c r="G99" s="3"/>
      <c r="I99" s="12"/>
      <c r="J99" s="3"/>
      <c r="P99" s="3"/>
    </row>
    <row r="100" spans="3:26" s="100" customFormat="1" ht="12.75" customHeight="1" x14ac:dyDescent="0.25">
      <c r="C100" s="5" t="s">
        <v>12</v>
      </c>
      <c r="G100" s="3"/>
      <c r="I100" s="12"/>
      <c r="J100" s="3"/>
      <c r="P100" s="3"/>
      <c r="Z100"/>
    </row>
    <row r="101" spans="3:26" s="100" customFormat="1" ht="12.75" customHeight="1" x14ac:dyDescent="0.2">
      <c r="C101" s="28" t="s">
        <v>1</v>
      </c>
      <c r="D101" s="28" t="s">
        <v>4</v>
      </c>
      <c r="E101" s="28"/>
      <c r="F101" s="28" t="s">
        <v>220</v>
      </c>
      <c r="G101" s="3"/>
      <c r="H101" s="172" t="str">
        <f>C101&amp;F101</f>
        <v>LabourRecurrent</v>
      </c>
      <c r="I101" s="29"/>
      <c r="J101" s="3"/>
      <c r="K101" s="28"/>
      <c r="L101" s="28"/>
      <c r="M101" s="28"/>
      <c r="N101" s="28"/>
      <c r="O101" s="28"/>
      <c r="P101" s="3"/>
      <c r="Q101" s="169">
        <f t="shared" ref="Q101:U106" si="52">SUMIFS(Q$10:Q$85,$E$10:$E$85,$C101,$D$10:$D$85,$D101,$F$10:$F$85,$F101)*Conv_2021</f>
        <v>489189.00387719373</v>
      </c>
      <c r="R101" s="169">
        <f t="shared" si="52"/>
        <v>1120087.5207823047</v>
      </c>
      <c r="S101" s="169">
        <f t="shared" si="52"/>
        <v>2661421.1282366375</v>
      </c>
      <c r="T101" s="169">
        <f t="shared" si="52"/>
        <v>490159.61698012467</v>
      </c>
      <c r="U101" s="169">
        <f t="shared" si="52"/>
        <v>489189.00387719373</v>
      </c>
    </row>
    <row r="102" spans="3:26" s="100" customFormat="1" ht="12.75" customHeight="1" x14ac:dyDescent="0.2">
      <c r="C102" s="4" t="s">
        <v>0</v>
      </c>
      <c r="D102" s="4" t="s">
        <v>4</v>
      </c>
      <c r="E102" s="4"/>
      <c r="F102" s="4" t="s">
        <v>220</v>
      </c>
      <c r="G102" s="3"/>
      <c r="H102" s="171" t="str">
        <f t="shared" ref="H102:H106" si="53">C102&amp;F102</f>
        <v>MaterialsRecurrent</v>
      </c>
      <c r="I102" s="13"/>
      <c r="J102" s="3"/>
      <c r="K102" s="4"/>
      <c r="L102" s="4"/>
      <c r="M102" s="4"/>
      <c r="N102" s="4"/>
      <c r="O102" s="4"/>
      <c r="P102" s="3"/>
      <c r="Q102" s="9">
        <f t="shared" si="52"/>
        <v>0</v>
      </c>
      <c r="R102" s="9">
        <f t="shared" si="52"/>
        <v>0</v>
      </c>
      <c r="S102" s="9">
        <f t="shared" si="52"/>
        <v>0</v>
      </c>
      <c r="T102" s="9">
        <f t="shared" si="52"/>
        <v>0</v>
      </c>
      <c r="U102" s="9">
        <f t="shared" si="52"/>
        <v>0</v>
      </c>
    </row>
    <row r="103" spans="3:26" s="100" customFormat="1" ht="12.75" customHeight="1" x14ac:dyDescent="0.2">
      <c r="C103" s="4" t="s">
        <v>3</v>
      </c>
      <c r="D103" s="4" t="s">
        <v>4</v>
      </c>
      <c r="E103" s="4"/>
      <c r="F103" s="4" t="s">
        <v>220</v>
      </c>
      <c r="G103" s="3"/>
      <c r="H103" s="171" t="str">
        <f t="shared" si="53"/>
        <v>ContractsRecurrent</v>
      </c>
      <c r="I103" s="13"/>
      <c r="J103" s="3"/>
      <c r="K103" s="4"/>
      <c r="L103" s="4"/>
      <c r="M103" s="4"/>
      <c r="N103" s="4"/>
      <c r="O103" s="4"/>
      <c r="P103" s="3"/>
      <c r="Q103" s="9">
        <f t="shared" si="52"/>
        <v>0</v>
      </c>
      <c r="R103" s="9">
        <f t="shared" si="52"/>
        <v>0</v>
      </c>
      <c r="S103" s="9">
        <f t="shared" si="52"/>
        <v>0</v>
      </c>
      <c r="T103" s="9">
        <f t="shared" si="52"/>
        <v>0</v>
      </c>
      <c r="U103" s="9">
        <f t="shared" si="52"/>
        <v>0</v>
      </c>
    </row>
    <row r="104" spans="3:26" s="100" customFormat="1" ht="12.75" customHeight="1" x14ac:dyDescent="0.2">
      <c r="C104" s="4" t="s">
        <v>1</v>
      </c>
      <c r="D104" s="4" t="s">
        <v>4</v>
      </c>
      <c r="E104" s="4"/>
      <c r="F104" s="4" t="s">
        <v>219</v>
      </c>
      <c r="G104" s="3"/>
      <c r="H104" s="171" t="str">
        <f t="shared" si="53"/>
        <v>LabourNon Recurrent</v>
      </c>
      <c r="I104" s="13"/>
      <c r="J104" s="3"/>
      <c r="K104" s="4"/>
      <c r="L104" s="4"/>
      <c r="M104" s="4"/>
      <c r="N104" s="4"/>
      <c r="O104" s="4"/>
      <c r="P104" s="3"/>
      <c r="Q104" s="9">
        <f t="shared" si="52"/>
        <v>1430461.4359103739</v>
      </c>
      <c r="R104" s="9">
        <f t="shared" si="52"/>
        <v>421246.08667202794</v>
      </c>
      <c r="S104" s="9">
        <f t="shared" si="52"/>
        <v>1646806.897972828</v>
      </c>
      <c r="T104" s="9">
        <f t="shared" si="52"/>
        <v>577514.79624390928</v>
      </c>
      <c r="U104" s="9">
        <f t="shared" si="52"/>
        <v>0</v>
      </c>
    </row>
    <row r="105" spans="3:26" s="100" customFormat="1" ht="12.75" customHeight="1" x14ac:dyDescent="0.2">
      <c r="C105" s="4" t="s">
        <v>0</v>
      </c>
      <c r="D105" s="4" t="s">
        <v>4</v>
      </c>
      <c r="E105" s="4"/>
      <c r="F105" s="4" t="s">
        <v>219</v>
      </c>
      <c r="G105" s="3"/>
      <c r="H105" s="171" t="str">
        <f t="shared" si="53"/>
        <v>MaterialsNon Recurrent</v>
      </c>
      <c r="I105" s="13"/>
      <c r="J105" s="3"/>
      <c r="K105" s="4"/>
      <c r="L105" s="4"/>
      <c r="M105" s="4"/>
      <c r="N105" s="4"/>
      <c r="O105" s="4"/>
      <c r="P105" s="3"/>
      <c r="Q105" s="9">
        <f t="shared" si="52"/>
        <v>170505.95697968503</v>
      </c>
      <c r="R105" s="9">
        <f t="shared" si="52"/>
        <v>0</v>
      </c>
      <c r="S105" s="9">
        <f t="shared" si="52"/>
        <v>0</v>
      </c>
      <c r="T105" s="9">
        <f t="shared" si="52"/>
        <v>18533.256193444024</v>
      </c>
      <c r="U105" s="9">
        <f t="shared" si="52"/>
        <v>0</v>
      </c>
    </row>
    <row r="106" spans="3:26" s="100" customFormat="1" ht="12.75" customHeight="1" x14ac:dyDescent="0.2">
      <c r="C106" s="4" t="s">
        <v>3</v>
      </c>
      <c r="D106" s="4" t="s">
        <v>4</v>
      </c>
      <c r="E106" s="7"/>
      <c r="F106" s="4" t="s">
        <v>219</v>
      </c>
      <c r="G106" s="3"/>
      <c r="H106" s="171" t="str">
        <f t="shared" si="53"/>
        <v>ContractsNon Recurrent</v>
      </c>
      <c r="I106" s="31"/>
      <c r="J106" s="3"/>
      <c r="K106" s="7"/>
      <c r="L106" s="7"/>
      <c r="M106" s="7"/>
      <c r="N106" s="7"/>
      <c r="O106" s="7"/>
      <c r="P106" s="3"/>
      <c r="Q106" s="9">
        <f t="shared" si="52"/>
        <v>0</v>
      </c>
      <c r="R106" s="9">
        <f t="shared" si="52"/>
        <v>0</v>
      </c>
      <c r="S106" s="9">
        <f t="shared" si="52"/>
        <v>0</v>
      </c>
      <c r="T106" s="9">
        <f t="shared" si="52"/>
        <v>0</v>
      </c>
      <c r="U106" s="9">
        <f t="shared" si="52"/>
        <v>0</v>
      </c>
    </row>
    <row r="107" spans="3:26" s="100" customFormat="1" ht="12.75" customHeight="1" x14ac:dyDescent="0.2">
      <c r="C107" s="10" t="str">
        <f>"Total Expenditure ($ "&amp;Assumptions!B17&amp;")"</f>
        <v>Total Expenditure ($ 2020/21)</v>
      </c>
      <c r="D107" s="10"/>
      <c r="E107" s="10"/>
      <c r="F107" s="10"/>
      <c r="G107" s="3"/>
      <c r="H107" s="10"/>
      <c r="I107" s="14"/>
      <c r="J107" s="3"/>
      <c r="K107" s="10"/>
      <c r="L107" s="10"/>
      <c r="M107" s="10"/>
      <c r="N107" s="10"/>
      <c r="O107" s="10"/>
      <c r="P107" s="3"/>
      <c r="Q107" s="11">
        <f>SUM(Q101:Q106)</f>
        <v>2090156.3967672526</v>
      </c>
      <c r="R107" s="11">
        <f t="shared" ref="R107:U107" si="54">SUM(R101:R106)</f>
        <v>1541333.6074543325</v>
      </c>
      <c r="S107" s="11">
        <f t="shared" si="54"/>
        <v>4308228.0262094652</v>
      </c>
      <c r="T107" s="11">
        <f t="shared" si="54"/>
        <v>1086207.6694174781</v>
      </c>
      <c r="U107" s="11">
        <f t="shared" si="54"/>
        <v>489189.00387719373</v>
      </c>
      <c r="V107" s="44"/>
    </row>
    <row r="108" spans="3:26" s="100" customFormat="1" ht="12.75" customHeight="1" x14ac:dyDescent="0.2">
      <c r="C108" s="101" t="s">
        <v>11</v>
      </c>
      <c r="D108" s="101"/>
      <c r="E108" s="101"/>
      <c r="F108" s="101"/>
      <c r="G108" s="3"/>
      <c r="H108" s="101"/>
      <c r="I108" s="101"/>
      <c r="J108" s="3"/>
      <c r="K108" s="101"/>
      <c r="L108" s="101"/>
      <c r="M108" s="101"/>
      <c r="N108" s="101"/>
      <c r="O108" s="101"/>
      <c r="P108" s="3"/>
      <c r="Q108" s="102">
        <f>Q96-Q107</f>
        <v>0</v>
      </c>
      <c r="R108" s="102">
        <f t="shared" ref="R108:U108" si="55">R96-R107</f>
        <v>0</v>
      </c>
      <c r="S108" s="102">
        <f t="shared" si="55"/>
        <v>0</v>
      </c>
      <c r="T108" s="102">
        <f t="shared" si="55"/>
        <v>0</v>
      </c>
      <c r="U108" s="102">
        <f t="shared" si="55"/>
        <v>0</v>
      </c>
      <c r="W108" s="102">
        <f>SUM(Q108:U108)</f>
        <v>0</v>
      </c>
    </row>
    <row r="109" spans="3:26" s="100" customFormat="1" ht="12.75" customHeight="1" x14ac:dyDescent="0.2">
      <c r="G109" s="3"/>
      <c r="I109" s="12"/>
      <c r="J109" s="3"/>
      <c r="P109" s="3"/>
    </row>
    <row r="110" spans="3:26" ht="12.75" customHeight="1" x14ac:dyDescent="0.2">
      <c r="C110" s="162" t="str">
        <f>"NPV ($ "&amp;Assumptions!$B$17&amp;")"</f>
        <v>NPV ($ 2020/21)</v>
      </c>
      <c r="D110" s="163">
        <f>NPV(Assumptions!$B$6,$Q$107:$U$107)</f>
        <v>8867281.7218951583</v>
      </c>
      <c r="G110" s="3"/>
      <c r="J110" s="3"/>
      <c r="P110" s="3"/>
    </row>
    <row r="111" spans="3:26" ht="12.75" customHeight="1" x14ac:dyDescent="0.2">
      <c r="P111" s="3"/>
    </row>
    <row r="112" spans="3:26" ht="12.75" customHeight="1" x14ac:dyDescent="0.2">
      <c r="P112" s="3"/>
    </row>
    <row r="113" ht="12.75" customHeight="1" x14ac:dyDescent="0.2"/>
    <row r="114" ht="12.75" customHeight="1" x14ac:dyDescent="0.2"/>
    <row r="115" ht="12.75" customHeight="1" x14ac:dyDescent="0.2"/>
  </sheetData>
  <sortState ref="B114:B116">
    <sortCondition ref="B114:B116"/>
  </sortState>
  <conditionalFormatting sqref="Q97">
    <cfRule type="expression" dxfId="13" priority="11">
      <formula>ABS(Q97)&gt;0.001</formula>
    </cfRule>
  </conditionalFormatting>
  <conditionalFormatting sqref="R97">
    <cfRule type="expression" dxfId="12" priority="10">
      <formula>ABS(R97)&gt;0.001</formula>
    </cfRule>
  </conditionalFormatting>
  <conditionalFormatting sqref="S97">
    <cfRule type="expression" dxfId="11" priority="9">
      <formula>ABS(S97)&gt;0.001</formula>
    </cfRule>
  </conditionalFormatting>
  <conditionalFormatting sqref="U97">
    <cfRule type="expression" dxfId="10" priority="8">
      <formula>ABS(U97)&gt;0.001</formula>
    </cfRule>
  </conditionalFormatting>
  <conditionalFormatting sqref="W97">
    <cfRule type="expression" dxfId="9" priority="6">
      <formula>ABS(W97)&gt;0.001</formula>
    </cfRule>
  </conditionalFormatting>
  <conditionalFormatting sqref="Q108:U108">
    <cfRule type="expression" dxfId="8" priority="5">
      <formula>ABS(Q108)&gt;0.001</formula>
    </cfRule>
  </conditionalFormatting>
  <conditionalFormatting sqref="W108">
    <cfRule type="expression" dxfId="7" priority="1">
      <formula>ABS(W108)&gt;0.001</formula>
    </cfRule>
  </conditionalFormatting>
  <dataValidations count="3">
    <dataValidation type="list" allowBlank="1" showInputMessage="1" showErrorMessage="1" sqref="D81:D85 D10:D69 D72:D78">
      <formula1>"CapEx, OpEx"</formula1>
    </dataValidation>
    <dataValidation type="list" allowBlank="1" showInputMessage="1" showErrorMessage="1" sqref="E72:E78 E10:E69 E81:E85">
      <formula1>"Labour, Materials, Contracts"</formula1>
    </dataValidation>
    <dataValidation type="list" allowBlank="1" showInputMessage="1" showErrorMessage="1" sqref="F10:F69 F72:F76">
      <formula1>"Recurrent, Non Recurrent"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130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13.28515625" style="100" bestFit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Customer enablement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SUM(W7:W112)=0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3" t="s">
        <v>8</v>
      </c>
      <c r="G7" s="20"/>
      <c r="H7" s="23" t="s">
        <v>14</v>
      </c>
      <c r="I7" s="23" t="s">
        <v>9</v>
      </c>
      <c r="J7" s="100"/>
      <c r="K7" s="23" t="s">
        <v>44</v>
      </c>
      <c r="L7" s="24"/>
      <c r="M7" s="24"/>
      <c r="N7" s="24"/>
      <c r="O7" s="24"/>
      <c r="P7" s="4"/>
      <c r="Q7" s="23" t="s">
        <v>10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15</v>
      </c>
      <c r="L8" s="122" t="s">
        <v>16</v>
      </c>
      <c r="M8" s="122" t="s">
        <v>17</v>
      </c>
      <c r="N8" s="122" t="s">
        <v>18</v>
      </c>
      <c r="O8" s="122" t="s">
        <v>19</v>
      </c>
      <c r="P8" s="4"/>
      <c r="Q8" s="122" t="s">
        <v>15</v>
      </c>
      <c r="R8" s="122" t="s">
        <v>16</v>
      </c>
      <c r="S8" s="122" t="s">
        <v>17</v>
      </c>
      <c r="T8" s="122" t="s">
        <v>18</v>
      </c>
      <c r="U8" s="122" t="s">
        <v>19</v>
      </c>
    </row>
    <row r="9" spans="1:26" ht="12.75" customHeight="1" x14ac:dyDescent="0.2">
      <c r="A9" s="100"/>
      <c r="B9" s="100"/>
      <c r="C9" s="100"/>
      <c r="D9" s="100"/>
      <c r="E9" s="100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 t="str">
        <f>IF(ISBLANK(B10),"",1+MAX(A$6:A9))</f>
        <v/>
      </c>
      <c r="C10" s="108" t="s">
        <v>47</v>
      </c>
      <c r="D10" s="109" t="s">
        <v>4</v>
      </c>
      <c r="E10" s="109" t="s">
        <v>1</v>
      </c>
      <c r="F10" s="110" t="s">
        <v>219</v>
      </c>
      <c r="G10" s="3"/>
      <c r="H10" s="111">
        <v>122.2</v>
      </c>
      <c r="I10" s="12" t="s">
        <v>41</v>
      </c>
      <c r="J10" s="3"/>
      <c r="K10" s="112">
        <v>210</v>
      </c>
      <c r="L10" s="112"/>
      <c r="M10" s="112"/>
      <c r="N10" s="112"/>
      <c r="O10" s="112"/>
      <c r="P10" s="3"/>
      <c r="Q10" s="8">
        <f t="shared" ref="Q10:U14" si="0">K10*$H10</f>
        <v>25662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08" t="s">
        <v>48</v>
      </c>
      <c r="D11" s="109" t="s">
        <v>4</v>
      </c>
      <c r="E11" s="109" t="s">
        <v>1</v>
      </c>
      <c r="F11" s="110" t="s">
        <v>219</v>
      </c>
      <c r="G11" s="3"/>
      <c r="H11" s="111">
        <v>122.2</v>
      </c>
      <c r="I11" s="12" t="s">
        <v>41</v>
      </c>
      <c r="J11" s="3"/>
      <c r="K11" s="112">
        <v>420</v>
      </c>
      <c r="L11" s="112"/>
      <c r="M11" s="112"/>
      <c r="N11" s="112"/>
      <c r="O11" s="112"/>
      <c r="P11" s="3"/>
      <c r="Q11" s="8">
        <f t="shared" si="0"/>
        <v>51324</v>
      </c>
      <c r="R11" s="8">
        <f t="shared" si="0"/>
        <v>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08" t="s">
        <v>49</v>
      </c>
      <c r="D12" s="109" t="s">
        <v>4</v>
      </c>
      <c r="E12" s="109" t="s">
        <v>1</v>
      </c>
      <c r="F12" s="110" t="s">
        <v>219</v>
      </c>
      <c r="G12" s="3"/>
      <c r="H12" s="111">
        <v>122.2</v>
      </c>
      <c r="I12" s="12" t="s">
        <v>41</v>
      </c>
      <c r="J12" s="3"/>
      <c r="K12" s="112">
        <v>630</v>
      </c>
      <c r="L12" s="112"/>
      <c r="M12" s="112"/>
      <c r="N12" s="112"/>
      <c r="O12" s="112"/>
      <c r="P12" s="3"/>
      <c r="Q12" s="8">
        <f t="shared" si="0"/>
        <v>76986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08" t="s">
        <v>50</v>
      </c>
      <c r="D13" s="109" t="s">
        <v>4</v>
      </c>
      <c r="E13" s="109" t="s">
        <v>1</v>
      </c>
      <c r="F13" s="110" t="s">
        <v>219</v>
      </c>
      <c r="G13" s="3"/>
      <c r="H13" s="111">
        <v>122.2</v>
      </c>
      <c r="I13" s="12" t="s">
        <v>41</v>
      </c>
      <c r="J13" s="3"/>
      <c r="K13" s="112">
        <v>973.28244274809151</v>
      </c>
      <c r="L13" s="112"/>
      <c r="M13" s="112"/>
      <c r="N13" s="112"/>
      <c r="O13" s="112"/>
      <c r="P13" s="3"/>
      <c r="Q13" s="8">
        <f t="shared" si="0"/>
        <v>118935.11450381679</v>
      </c>
      <c r="R13" s="8">
        <f t="shared" si="0"/>
        <v>0</v>
      </c>
      <c r="S13" s="8">
        <f t="shared" si="0"/>
        <v>0</v>
      </c>
      <c r="T13" s="8">
        <f t="shared" si="0"/>
        <v>0</v>
      </c>
      <c r="U13" s="8">
        <f t="shared" si="0"/>
        <v>0</v>
      </c>
      <c r="Z13"/>
    </row>
    <row r="14" spans="1:26" ht="12.75" customHeight="1" x14ac:dyDescent="0.25">
      <c r="A14" s="7" t="str">
        <f>IF(ISBLANK(B14),"",1+MAX(A$6:A13))</f>
        <v/>
      </c>
      <c r="C14" s="108" t="s">
        <v>51</v>
      </c>
      <c r="D14" s="109" t="s">
        <v>4</v>
      </c>
      <c r="E14" s="109" t="s">
        <v>1</v>
      </c>
      <c r="F14" s="110" t="s">
        <v>219</v>
      </c>
      <c r="G14" s="3"/>
      <c r="H14" s="111">
        <v>122.2</v>
      </c>
      <c r="I14" s="12" t="s">
        <v>41</v>
      </c>
      <c r="J14" s="3"/>
      <c r="K14" s="112"/>
      <c r="L14" s="112"/>
      <c r="M14" s="112">
        <v>210</v>
      </c>
      <c r="N14" s="112"/>
      <c r="O14" s="112"/>
      <c r="P14" s="3"/>
      <c r="Q14" s="8">
        <f t="shared" si="0"/>
        <v>0</v>
      </c>
      <c r="R14" s="8">
        <f t="shared" si="0"/>
        <v>0</v>
      </c>
      <c r="S14" s="8">
        <f t="shared" si="0"/>
        <v>25662</v>
      </c>
      <c r="T14" s="8">
        <f t="shared" si="0"/>
        <v>0</v>
      </c>
      <c r="U14" s="8">
        <f t="shared" si="0"/>
        <v>0</v>
      </c>
      <c r="Z14"/>
    </row>
    <row r="15" spans="1:26" s="100" customFormat="1" ht="12.75" customHeight="1" x14ac:dyDescent="0.25">
      <c r="A15" s="7"/>
      <c r="C15" s="108" t="s">
        <v>52</v>
      </c>
      <c r="D15" s="109" t="s">
        <v>4</v>
      </c>
      <c r="E15" s="109" t="s">
        <v>1</v>
      </c>
      <c r="F15" s="110" t="s">
        <v>219</v>
      </c>
      <c r="G15" s="3"/>
      <c r="H15" s="111">
        <v>122.2</v>
      </c>
      <c r="I15" s="12" t="s">
        <v>41</v>
      </c>
      <c r="J15" s="3"/>
      <c r="K15" s="112"/>
      <c r="L15" s="112"/>
      <c r="M15" s="112">
        <v>210</v>
      </c>
      <c r="N15" s="112"/>
      <c r="O15" s="112"/>
      <c r="P15" s="3"/>
      <c r="Q15" s="8">
        <f t="shared" ref="Q15:Q58" si="1">K15*$H15</f>
        <v>0</v>
      </c>
      <c r="R15" s="8">
        <f t="shared" ref="R15:R58" si="2">L15*$H15</f>
        <v>0</v>
      </c>
      <c r="S15" s="8">
        <f t="shared" ref="S15:S58" si="3">M15*$H15</f>
        <v>25662</v>
      </c>
      <c r="T15" s="8">
        <f t="shared" ref="T15:T58" si="4">N15*$H15</f>
        <v>0</v>
      </c>
      <c r="U15" s="8">
        <f t="shared" ref="U15:U58" si="5">O15*$H15</f>
        <v>0</v>
      </c>
      <c r="Z15"/>
    </row>
    <row r="16" spans="1:26" s="100" customFormat="1" ht="12.75" customHeight="1" x14ac:dyDescent="0.25">
      <c r="A16" s="7"/>
      <c r="C16" s="108" t="s">
        <v>53</v>
      </c>
      <c r="D16" s="109" t="s">
        <v>4</v>
      </c>
      <c r="E16" s="109" t="s">
        <v>1</v>
      </c>
      <c r="F16" s="110" t="s">
        <v>219</v>
      </c>
      <c r="G16" s="3"/>
      <c r="H16" s="111">
        <v>122.2</v>
      </c>
      <c r="I16" s="12" t="s">
        <v>41</v>
      </c>
      <c r="J16" s="3"/>
      <c r="K16" s="112"/>
      <c r="L16" s="112"/>
      <c r="M16" s="112">
        <v>420</v>
      </c>
      <c r="N16" s="112"/>
      <c r="O16" s="112"/>
      <c r="P16" s="3"/>
      <c r="Q16" s="8">
        <f t="shared" si="1"/>
        <v>0</v>
      </c>
      <c r="R16" s="8">
        <f t="shared" si="2"/>
        <v>0</v>
      </c>
      <c r="S16" s="8">
        <f t="shared" si="3"/>
        <v>51324</v>
      </c>
      <c r="T16" s="8">
        <f t="shared" si="4"/>
        <v>0</v>
      </c>
      <c r="U16" s="8">
        <f t="shared" si="5"/>
        <v>0</v>
      </c>
      <c r="Z16"/>
    </row>
    <row r="17" spans="1:26" s="100" customFormat="1" ht="12.75" customHeight="1" x14ac:dyDescent="0.25">
      <c r="A17" s="7"/>
      <c r="C17" s="108" t="s">
        <v>54</v>
      </c>
      <c r="D17" s="109" t="s">
        <v>4</v>
      </c>
      <c r="E17" s="109" t="s">
        <v>1</v>
      </c>
      <c r="F17" s="110" t="s">
        <v>219</v>
      </c>
      <c r="G17" s="3"/>
      <c r="H17" s="111">
        <v>122.2</v>
      </c>
      <c r="I17" s="12" t="s">
        <v>41</v>
      </c>
      <c r="J17" s="3"/>
      <c r="K17" s="112"/>
      <c r="L17" s="112"/>
      <c r="M17" s="112">
        <v>420</v>
      </c>
      <c r="N17" s="112"/>
      <c r="O17" s="112"/>
      <c r="P17" s="3"/>
      <c r="Q17" s="8">
        <f t="shared" si="1"/>
        <v>0</v>
      </c>
      <c r="R17" s="8">
        <f t="shared" si="2"/>
        <v>0</v>
      </c>
      <c r="S17" s="8">
        <f t="shared" si="3"/>
        <v>51324</v>
      </c>
      <c r="T17" s="8">
        <f t="shared" si="4"/>
        <v>0</v>
      </c>
      <c r="U17" s="8">
        <f t="shared" si="5"/>
        <v>0</v>
      </c>
      <c r="Z17"/>
    </row>
    <row r="18" spans="1:26" s="100" customFormat="1" ht="12.75" customHeight="1" x14ac:dyDescent="0.25">
      <c r="A18" s="7"/>
      <c r="C18" s="108" t="s">
        <v>55</v>
      </c>
      <c r="D18" s="109" t="s">
        <v>4</v>
      </c>
      <c r="E18" s="109" t="s">
        <v>1</v>
      </c>
      <c r="F18" s="110" t="s">
        <v>219</v>
      </c>
      <c r="G18" s="3"/>
      <c r="H18" s="111">
        <v>122.2</v>
      </c>
      <c r="I18" s="12" t="s">
        <v>41</v>
      </c>
      <c r="J18" s="3"/>
      <c r="K18" s="112"/>
      <c r="L18" s="112"/>
      <c r="M18" s="112">
        <v>52.5</v>
      </c>
      <c r="N18" s="112"/>
      <c r="O18" s="112"/>
      <c r="P18" s="3"/>
      <c r="Q18" s="8">
        <f t="shared" si="1"/>
        <v>0</v>
      </c>
      <c r="R18" s="8">
        <f t="shared" si="2"/>
        <v>0</v>
      </c>
      <c r="S18" s="8">
        <f t="shared" si="3"/>
        <v>6415.5</v>
      </c>
      <c r="T18" s="8">
        <f t="shared" si="4"/>
        <v>0</v>
      </c>
      <c r="U18" s="8">
        <f t="shared" si="5"/>
        <v>0</v>
      </c>
      <c r="Z18"/>
    </row>
    <row r="19" spans="1:26" s="100" customFormat="1" ht="12.75" customHeight="1" x14ac:dyDescent="0.25">
      <c r="A19" s="7"/>
      <c r="C19" s="108" t="s">
        <v>56</v>
      </c>
      <c r="D19" s="109" t="s">
        <v>4</v>
      </c>
      <c r="E19" s="109" t="s">
        <v>1</v>
      </c>
      <c r="F19" s="110" t="s">
        <v>219</v>
      </c>
      <c r="G19" s="3"/>
      <c r="H19" s="111">
        <v>122.2</v>
      </c>
      <c r="I19" s="12" t="s">
        <v>41</v>
      </c>
      <c r="J19" s="3"/>
      <c r="K19" s="112"/>
      <c r="L19" s="112"/>
      <c r="M19" s="112">
        <v>210</v>
      </c>
      <c r="N19" s="112"/>
      <c r="O19" s="112"/>
      <c r="P19" s="3"/>
      <c r="Q19" s="8">
        <f t="shared" si="1"/>
        <v>0</v>
      </c>
      <c r="R19" s="8">
        <f t="shared" si="2"/>
        <v>0</v>
      </c>
      <c r="S19" s="8">
        <f t="shared" si="3"/>
        <v>25662</v>
      </c>
      <c r="T19" s="8">
        <f t="shared" si="4"/>
        <v>0</v>
      </c>
      <c r="U19" s="8">
        <f t="shared" si="5"/>
        <v>0</v>
      </c>
      <c r="Z19"/>
    </row>
    <row r="20" spans="1:26" s="100" customFormat="1" ht="12.75" customHeight="1" x14ac:dyDescent="0.25">
      <c r="A20" s="7"/>
      <c r="C20" s="108" t="s">
        <v>57</v>
      </c>
      <c r="D20" s="109" t="s">
        <v>4</v>
      </c>
      <c r="E20" s="109" t="s">
        <v>1</v>
      </c>
      <c r="F20" s="110" t="s">
        <v>219</v>
      </c>
      <c r="G20" s="3"/>
      <c r="H20" s="111">
        <v>122.2</v>
      </c>
      <c r="I20" s="12" t="s">
        <v>41</v>
      </c>
      <c r="J20" s="3"/>
      <c r="K20" s="112"/>
      <c r="L20" s="112"/>
      <c r="M20" s="112">
        <v>210</v>
      </c>
      <c r="N20" s="112"/>
      <c r="O20" s="112"/>
      <c r="P20" s="3"/>
      <c r="Q20" s="8">
        <f t="shared" si="1"/>
        <v>0</v>
      </c>
      <c r="R20" s="8">
        <f t="shared" si="2"/>
        <v>0</v>
      </c>
      <c r="S20" s="8">
        <f t="shared" si="3"/>
        <v>25662</v>
      </c>
      <c r="T20" s="8">
        <f t="shared" si="4"/>
        <v>0</v>
      </c>
      <c r="U20" s="8">
        <f t="shared" si="5"/>
        <v>0</v>
      </c>
      <c r="Z20"/>
    </row>
    <row r="21" spans="1:26" s="100" customFormat="1" ht="12.75" customHeight="1" x14ac:dyDescent="0.25">
      <c r="A21" s="7"/>
      <c r="C21" s="108" t="s">
        <v>58</v>
      </c>
      <c r="D21" s="109" t="s">
        <v>4</v>
      </c>
      <c r="E21" s="109" t="s">
        <v>1</v>
      </c>
      <c r="F21" s="110" t="s">
        <v>219</v>
      </c>
      <c r="G21" s="3"/>
      <c r="H21" s="111">
        <v>122.2</v>
      </c>
      <c r="I21" s="12" t="s">
        <v>41</v>
      </c>
      <c r="J21" s="3"/>
      <c r="K21" s="112"/>
      <c r="L21" s="112"/>
      <c r="M21" s="112">
        <v>420</v>
      </c>
      <c r="N21" s="112"/>
      <c r="O21" s="112"/>
      <c r="P21" s="3"/>
      <c r="Q21" s="8">
        <f t="shared" si="1"/>
        <v>0</v>
      </c>
      <c r="R21" s="8">
        <f t="shared" si="2"/>
        <v>0</v>
      </c>
      <c r="S21" s="8">
        <f t="shared" si="3"/>
        <v>51324</v>
      </c>
      <c r="T21" s="8">
        <f t="shared" si="4"/>
        <v>0</v>
      </c>
      <c r="U21" s="8">
        <f t="shared" si="5"/>
        <v>0</v>
      </c>
      <c r="Z21"/>
    </row>
    <row r="22" spans="1:26" s="100" customFormat="1" ht="12.75" customHeight="1" x14ac:dyDescent="0.25">
      <c r="A22" s="7"/>
      <c r="C22" s="108" t="s">
        <v>59</v>
      </c>
      <c r="D22" s="109" t="s">
        <v>4</v>
      </c>
      <c r="E22" s="109" t="s">
        <v>1</v>
      </c>
      <c r="F22" s="110" t="s">
        <v>219</v>
      </c>
      <c r="G22" s="3"/>
      <c r="H22" s="111">
        <v>122.2</v>
      </c>
      <c r="I22" s="12" t="s">
        <v>41</v>
      </c>
      <c r="J22" s="3"/>
      <c r="K22" s="112"/>
      <c r="L22" s="112"/>
      <c r="M22" s="112">
        <v>420</v>
      </c>
      <c r="N22" s="112"/>
      <c r="O22" s="112"/>
      <c r="P22" s="3"/>
      <c r="Q22" s="8">
        <f t="shared" si="1"/>
        <v>0</v>
      </c>
      <c r="R22" s="8">
        <f t="shared" si="2"/>
        <v>0</v>
      </c>
      <c r="S22" s="8">
        <f t="shared" si="3"/>
        <v>51324</v>
      </c>
      <c r="T22" s="8">
        <f t="shared" si="4"/>
        <v>0</v>
      </c>
      <c r="U22" s="8">
        <f t="shared" si="5"/>
        <v>0</v>
      </c>
      <c r="Z22"/>
    </row>
    <row r="23" spans="1:26" s="100" customFormat="1" ht="12.75" customHeight="1" x14ac:dyDescent="0.25">
      <c r="A23" s="7"/>
      <c r="C23" s="108" t="s">
        <v>60</v>
      </c>
      <c r="D23" s="109" t="s">
        <v>4</v>
      </c>
      <c r="E23" s="109" t="s">
        <v>1</v>
      </c>
      <c r="F23" s="110" t="s">
        <v>219</v>
      </c>
      <c r="G23" s="3"/>
      <c r="H23" s="111">
        <v>122.2</v>
      </c>
      <c r="I23" s="12" t="s">
        <v>41</v>
      </c>
      <c r="J23" s="3"/>
      <c r="K23" s="112"/>
      <c r="L23" s="112"/>
      <c r="M23" s="112">
        <v>52.5</v>
      </c>
      <c r="N23" s="112"/>
      <c r="O23" s="112"/>
      <c r="P23" s="3"/>
      <c r="Q23" s="8">
        <f t="shared" si="1"/>
        <v>0</v>
      </c>
      <c r="R23" s="8">
        <f t="shared" si="2"/>
        <v>0</v>
      </c>
      <c r="S23" s="8">
        <f t="shared" si="3"/>
        <v>6415.5</v>
      </c>
      <c r="T23" s="8">
        <f t="shared" si="4"/>
        <v>0</v>
      </c>
      <c r="U23" s="8">
        <f t="shared" si="5"/>
        <v>0</v>
      </c>
      <c r="Z23"/>
    </row>
    <row r="24" spans="1:26" s="100" customFormat="1" ht="12.75" customHeight="1" x14ac:dyDescent="0.25">
      <c r="A24" s="7"/>
      <c r="C24" s="108" t="s">
        <v>189</v>
      </c>
      <c r="D24" s="109" t="s">
        <v>4</v>
      </c>
      <c r="E24" s="109" t="s">
        <v>1</v>
      </c>
      <c r="F24" s="110" t="s">
        <v>219</v>
      </c>
      <c r="G24" s="3"/>
      <c r="H24" s="111">
        <v>122.2</v>
      </c>
      <c r="I24" s="12" t="s">
        <v>41</v>
      </c>
      <c r="J24" s="3"/>
      <c r="K24" s="112"/>
      <c r="L24" s="112">
        <v>315</v>
      </c>
      <c r="M24" s="112"/>
      <c r="N24" s="112"/>
      <c r="O24" s="112"/>
      <c r="P24" s="3"/>
      <c r="Q24" s="8">
        <f t="shared" si="1"/>
        <v>0</v>
      </c>
      <c r="R24" s="8">
        <f t="shared" si="2"/>
        <v>38493</v>
      </c>
      <c r="S24" s="8">
        <f t="shared" si="3"/>
        <v>0</v>
      </c>
      <c r="T24" s="8">
        <f t="shared" si="4"/>
        <v>0</v>
      </c>
      <c r="U24" s="8">
        <f t="shared" si="5"/>
        <v>0</v>
      </c>
      <c r="Z24"/>
    </row>
    <row r="25" spans="1:26" s="100" customFormat="1" ht="12.75" customHeight="1" x14ac:dyDescent="0.25">
      <c r="A25" s="7"/>
      <c r="C25" s="108" t="s">
        <v>190</v>
      </c>
      <c r="D25" s="109" t="s">
        <v>4</v>
      </c>
      <c r="E25" s="109" t="s">
        <v>1</v>
      </c>
      <c r="F25" s="110" t="s">
        <v>219</v>
      </c>
      <c r="G25" s="3"/>
      <c r="H25" s="111">
        <v>122.2</v>
      </c>
      <c r="I25" s="12" t="s">
        <v>41</v>
      </c>
      <c r="J25" s="3"/>
      <c r="K25" s="112"/>
      <c r="L25" s="112">
        <v>630</v>
      </c>
      <c r="M25" s="112"/>
      <c r="N25" s="112"/>
      <c r="O25" s="112"/>
      <c r="P25" s="3"/>
      <c r="Q25" s="8">
        <f t="shared" si="1"/>
        <v>0</v>
      </c>
      <c r="R25" s="8">
        <f t="shared" si="2"/>
        <v>76986</v>
      </c>
      <c r="S25" s="8">
        <f t="shared" si="3"/>
        <v>0</v>
      </c>
      <c r="T25" s="8">
        <f t="shared" si="4"/>
        <v>0</v>
      </c>
      <c r="U25" s="8">
        <f t="shared" si="5"/>
        <v>0</v>
      </c>
      <c r="Z25"/>
    </row>
    <row r="26" spans="1:26" s="100" customFormat="1" ht="12.75" customHeight="1" x14ac:dyDescent="0.25">
      <c r="A26" s="7"/>
      <c r="C26" s="108" t="s">
        <v>191</v>
      </c>
      <c r="D26" s="109" t="s">
        <v>4</v>
      </c>
      <c r="E26" s="109" t="s">
        <v>1</v>
      </c>
      <c r="F26" s="110" t="s">
        <v>219</v>
      </c>
      <c r="G26" s="3"/>
      <c r="H26" s="111">
        <v>122.2</v>
      </c>
      <c r="I26" s="12" t="s">
        <v>41</v>
      </c>
      <c r="J26" s="3"/>
      <c r="K26" s="112"/>
      <c r="L26" s="112">
        <v>1260</v>
      </c>
      <c r="M26" s="112"/>
      <c r="N26" s="112"/>
      <c r="O26" s="112"/>
      <c r="P26" s="3"/>
      <c r="Q26" s="8">
        <f t="shared" si="1"/>
        <v>0</v>
      </c>
      <c r="R26" s="8">
        <f t="shared" si="2"/>
        <v>153972</v>
      </c>
      <c r="S26" s="8">
        <f t="shared" si="3"/>
        <v>0</v>
      </c>
      <c r="T26" s="8">
        <f t="shared" si="4"/>
        <v>0</v>
      </c>
      <c r="U26" s="8">
        <f t="shared" si="5"/>
        <v>0</v>
      </c>
      <c r="Z26"/>
    </row>
    <row r="27" spans="1:26" s="100" customFormat="1" ht="12.75" customHeight="1" x14ac:dyDescent="0.25">
      <c r="A27" s="7"/>
      <c r="C27" s="108" t="s">
        <v>192</v>
      </c>
      <c r="D27" s="109" t="s">
        <v>4</v>
      </c>
      <c r="E27" s="109" t="s">
        <v>1</v>
      </c>
      <c r="F27" s="110" t="s">
        <v>219</v>
      </c>
      <c r="G27" s="3"/>
      <c r="H27" s="111">
        <v>122.2</v>
      </c>
      <c r="I27" s="12" t="s">
        <v>41</v>
      </c>
      <c r="J27" s="3"/>
      <c r="K27" s="112"/>
      <c r="L27" s="112">
        <v>315</v>
      </c>
      <c r="M27" s="112"/>
      <c r="N27" s="112"/>
      <c r="O27" s="112"/>
      <c r="P27" s="3"/>
      <c r="Q27" s="8">
        <f t="shared" si="1"/>
        <v>0</v>
      </c>
      <c r="R27" s="8">
        <f t="shared" si="2"/>
        <v>38493</v>
      </c>
      <c r="S27" s="8">
        <f t="shared" si="3"/>
        <v>0</v>
      </c>
      <c r="T27" s="8">
        <f t="shared" si="4"/>
        <v>0</v>
      </c>
      <c r="U27" s="8">
        <f t="shared" si="5"/>
        <v>0</v>
      </c>
      <c r="Z27"/>
    </row>
    <row r="28" spans="1:26" s="100" customFormat="1" ht="12.75" customHeight="1" x14ac:dyDescent="0.25">
      <c r="A28" s="7"/>
      <c r="C28" s="108" t="s">
        <v>193</v>
      </c>
      <c r="D28" s="109" t="s">
        <v>4</v>
      </c>
      <c r="E28" s="109" t="s">
        <v>1</v>
      </c>
      <c r="F28" s="110" t="s">
        <v>219</v>
      </c>
      <c r="G28" s="3"/>
      <c r="H28" s="111">
        <v>122.2</v>
      </c>
      <c r="I28" s="12" t="s">
        <v>41</v>
      </c>
      <c r="J28" s="3"/>
      <c r="K28" s="112"/>
      <c r="L28" s="112">
        <v>630</v>
      </c>
      <c r="M28" s="112"/>
      <c r="N28" s="112"/>
      <c r="O28" s="112"/>
      <c r="P28" s="3"/>
      <c r="Q28" s="8">
        <f t="shared" si="1"/>
        <v>0</v>
      </c>
      <c r="R28" s="8">
        <f t="shared" si="2"/>
        <v>76986</v>
      </c>
      <c r="S28" s="8">
        <f t="shared" si="3"/>
        <v>0</v>
      </c>
      <c r="T28" s="8">
        <f t="shared" si="4"/>
        <v>0</v>
      </c>
      <c r="U28" s="8">
        <f t="shared" si="5"/>
        <v>0</v>
      </c>
      <c r="Z28"/>
    </row>
    <row r="29" spans="1:26" s="100" customFormat="1" ht="12.75" customHeight="1" x14ac:dyDescent="0.25">
      <c r="A29" s="7"/>
      <c r="C29" s="108" t="s">
        <v>194</v>
      </c>
      <c r="D29" s="109" t="s">
        <v>4</v>
      </c>
      <c r="E29" s="109" t="s">
        <v>1</v>
      </c>
      <c r="F29" s="110" t="s">
        <v>219</v>
      </c>
      <c r="G29" s="3"/>
      <c r="H29" s="111">
        <v>122.2</v>
      </c>
      <c r="I29" s="12" t="s">
        <v>41</v>
      </c>
      <c r="J29" s="3"/>
      <c r="K29" s="112"/>
      <c r="L29" s="112">
        <v>105</v>
      </c>
      <c r="M29" s="112"/>
      <c r="N29" s="112"/>
      <c r="O29" s="112"/>
      <c r="P29" s="3"/>
      <c r="Q29" s="8">
        <f t="shared" si="1"/>
        <v>0</v>
      </c>
      <c r="R29" s="8">
        <f t="shared" si="2"/>
        <v>12831</v>
      </c>
      <c r="S29" s="8">
        <f t="shared" si="3"/>
        <v>0</v>
      </c>
      <c r="T29" s="8">
        <f t="shared" si="4"/>
        <v>0</v>
      </c>
      <c r="U29" s="8">
        <f t="shared" si="5"/>
        <v>0</v>
      </c>
      <c r="Z29"/>
    </row>
    <row r="30" spans="1:26" s="100" customFormat="1" ht="12.75" customHeight="1" x14ac:dyDescent="0.25">
      <c r="A30" s="7"/>
      <c r="C30" s="108" t="s">
        <v>61</v>
      </c>
      <c r="D30" s="109" t="s">
        <v>4</v>
      </c>
      <c r="E30" s="109" t="s">
        <v>1</v>
      </c>
      <c r="F30" s="110" t="s">
        <v>219</v>
      </c>
      <c r="G30" s="3"/>
      <c r="H30" s="111">
        <v>122.2</v>
      </c>
      <c r="I30" s="12" t="s">
        <v>41</v>
      </c>
      <c r="J30" s="3"/>
      <c r="K30" s="112"/>
      <c r="L30" s="112"/>
      <c r="M30" s="112"/>
      <c r="N30" s="112">
        <v>630</v>
      </c>
      <c r="O30" s="112"/>
      <c r="P30" s="3"/>
      <c r="Q30" s="8">
        <f t="shared" si="1"/>
        <v>0</v>
      </c>
      <c r="R30" s="8">
        <f t="shared" si="2"/>
        <v>0</v>
      </c>
      <c r="S30" s="8">
        <f t="shared" si="3"/>
        <v>0</v>
      </c>
      <c r="T30" s="8">
        <f t="shared" si="4"/>
        <v>76986</v>
      </c>
      <c r="U30" s="8">
        <f t="shared" si="5"/>
        <v>0</v>
      </c>
      <c r="Z30"/>
    </row>
    <row r="31" spans="1:26" s="100" customFormat="1" ht="12.75" customHeight="1" x14ac:dyDescent="0.25">
      <c r="A31" s="7"/>
      <c r="C31" s="108" t="s">
        <v>62</v>
      </c>
      <c r="D31" s="109" t="s">
        <v>4</v>
      </c>
      <c r="E31" s="109" t="s">
        <v>1</v>
      </c>
      <c r="F31" s="110" t="s">
        <v>219</v>
      </c>
      <c r="G31" s="3"/>
      <c r="H31" s="111">
        <v>122.2</v>
      </c>
      <c r="I31" s="12" t="s">
        <v>41</v>
      </c>
      <c r="J31" s="3"/>
      <c r="K31" s="112"/>
      <c r="L31" s="112"/>
      <c r="M31" s="112"/>
      <c r="N31" s="112">
        <v>630</v>
      </c>
      <c r="O31" s="112"/>
      <c r="P31" s="3"/>
      <c r="Q31" s="8">
        <f t="shared" si="1"/>
        <v>0</v>
      </c>
      <c r="R31" s="8">
        <f t="shared" si="2"/>
        <v>0</v>
      </c>
      <c r="S31" s="8">
        <f t="shared" si="3"/>
        <v>0</v>
      </c>
      <c r="T31" s="8">
        <f t="shared" si="4"/>
        <v>76986</v>
      </c>
      <c r="U31" s="8">
        <f t="shared" si="5"/>
        <v>0</v>
      </c>
      <c r="Z31"/>
    </row>
    <row r="32" spans="1:26" s="100" customFormat="1" ht="12.75" customHeight="1" x14ac:dyDescent="0.25">
      <c r="A32" s="7"/>
      <c r="C32" s="108" t="s">
        <v>63</v>
      </c>
      <c r="D32" s="109" t="s">
        <v>4</v>
      </c>
      <c r="E32" s="109" t="s">
        <v>1</v>
      </c>
      <c r="F32" s="110" t="s">
        <v>219</v>
      </c>
      <c r="G32" s="3"/>
      <c r="H32" s="111">
        <v>122.2</v>
      </c>
      <c r="I32" s="12" t="s">
        <v>41</v>
      </c>
      <c r="J32" s="3"/>
      <c r="K32" s="112"/>
      <c r="L32" s="112"/>
      <c r="M32" s="112"/>
      <c r="N32" s="112">
        <v>945</v>
      </c>
      <c r="O32" s="112"/>
      <c r="P32" s="3"/>
      <c r="Q32" s="8">
        <f t="shared" si="1"/>
        <v>0</v>
      </c>
      <c r="R32" s="8">
        <f t="shared" si="2"/>
        <v>0</v>
      </c>
      <c r="S32" s="8">
        <f t="shared" si="3"/>
        <v>0</v>
      </c>
      <c r="T32" s="8">
        <f t="shared" si="4"/>
        <v>115479</v>
      </c>
      <c r="U32" s="8">
        <f t="shared" si="5"/>
        <v>0</v>
      </c>
      <c r="Z32"/>
    </row>
    <row r="33" spans="1:26" s="100" customFormat="1" ht="12.75" customHeight="1" x14ac:dyDescent="0.25">
      <c r="A33" s="7"/>
      <c r="C33" s="108" t="s">
        <v>64</v>
      </c>
      <c r="D33" s="109" t="s">
        <v>4</v>
      </c>
      <c r="E33" s="109" t="s">
        <v>1</v>
      </c>
      <c r="F33" s="110" t="s">
        <v>219</v>
      </c>
      <c r="G33" s="3"/>
      <c r="H33" s="111">
        <v>122.2</v>
      </c>
      <c r="I33" s="12" t="s">
        <v>41</v>
      </c>
      <c r="J33" s="3"/>
      <c r="K33" s="112"/>
      <c r="L33" s="112"/>
      <c r="M33" s="112"/>
      <c r="N33" s="112">
        <v>262.49999999999994</v>
      </c>
      <c r="O33" s="112"/>
      <c r="P33" s="3"/>
      <c r="Q33" s="8">
        <f t="shared" si="1"/>
        <v>0</v>
      </c>
      <c r="R33" s="8">
        <f t="shared" si="2"/>
        <v>0</v>
      </c>
      <c r="S33" s="8">
        <f t="shared" si="3"/>
        <v>0</v>
      </c>
      <c r="T33" s="8">
        <f t="shared" si="4"/>
        <v>32077.499999999993</v>
      </c>
      <c r="U33" s="8">
        <f t="shared" si="5"/>
        <v>0</v>
      </c>
      <c r="Z33"/>
    </row>
    <row r="34" spans="1:26" s="100" customFormat="1" ht="12.75" customHeight="1" x14ac:dyDescent="0.25">
      <c r="A34" s="7"/>
      <c r="C34" s="108" t="s">
        <v>65</v>
      </c>
      <c r="D34" s="109" t="s">
        <v>4</v>
      </c>
      <c r="E34" s="109" t="s">
        <v>1</v>
      </c>
      <c r="F34" s="110" t="s">
        <v>219</v>
      </c>
      <c r="G34" s="3"/>
      <c r="H34" s="111">
        <v>122.2</v>
      </c>
      <c r="I34" s="12" t="s">
        <v>41</v>
      </c>
      <c r="J34" s="3"/>
      <c r="K34" s="112"/>
      <c r="L34" s="112"/>
      <c r="M34" s="112"/>
      <c r="N34" s="112">
        <v>524.99999999999989</v>
      </c>
      <c r="O34" s="112"/>
      <c r="P34" s="3"/>
      <c r="Q34" s="8">
        <f t="shared" si="1"/>
        <v>0</v>
      </c>
      <c r="R34" s="8">
        <f t="shared" si="2"/>
        <v>0</v>
      </c>
      <c r="S34" s="8">
        <f t="shared" si="3"/>
        <v>0</v>
      </c>
      <c r="T34" s="8">
        <f t="shared" si="4"/>
        <v>64154.999999999985</v>
      </c>
      <c r="U34" s="8">
        <f t="shared" si="5"/>
        <v>0</v>
      </c>
      <c r="Z34"/>
    </row>
    <row r="35" spans="1:26" s="100" customFormat="1" ht="12.75" customHeight="1" x14ac:dyDescent="0.25">
      <c r="A35" s="7"/>
      <c r="C35" s="108" t="s">
        <v>66</v>
      </c>
      <c r="D35" s="109" t="s">
        <v>4</v>
      </c>
      <c r="E35" s="109" t="s">
        <v>1</v>
      </c>
      <c r="F35" s="110" t="s">
        <v>219</v>
      </c>
      <c r="G35" s="3"/>
      <c r="H35" s="111">
        <v>122.2</v>
      </c>
      <c r="I35" s="12" t="s">
        <v>41</v>
      </c>
      <c r="J35" s="3"/>
      <c r="K35" s="112"/>
      <c r="L35" s="112"/>
      <c r="M35" s="112"/>
      <c r="N35" s="112">
        <v>1260</v>
      </c>
      <c r="O35" s="112"/>
      <c r="P35" s="3"/>
      <c r="Q35" s="8">
        <f t="shared" si="1"/>
        <v>0</v>
      </c>
      <c r="R35" s="8">
        <f t="shared" si="2"/>
        <v>0</v>
      </c>
      <c r="S35" s="8">
        <f t="shared" si="3"/>
        <v>0</v>
      </c>
      <c r="T35" s="8">
        <f t="shared" si="4"/>
        <v>153972</v>
      </c>
      <c r="U35" s="8">
        <f t="shared" si="5"/>
        <v>0</v>
      </c>
      <c r="Z35"/>
    </row>
    <row r="36" spans="1:26" s="100" customFormat="1" ht="12.75" customHeight="1" x14ac:dyDescent="0.25">
      <c r="A36" s="7"/>
      <c r="C36" s="108" t="s">
        <v>67</v>
      </c>
      <c r="D36" s="109" t="s">
        <v>4</v>
      </c>
      <c r="E36" s="109" t="s">
        <v>1</v>
      </c>
      <c r="F36" s="110" t="s">
        <v>219</v>
      </c>
      <c r="G36" s="3"/>
      <c r="H36" s="111">
        <v>122.2</v>
      </c>
      <c r="I36" s="12" t="s">
        <v>41</v>
      </c>
      <c r="J36" s="3"/>
      <c r="K36" s="112"/>
      <c r="L36" s="112"/>
      <c r="M36" s="112"/>
      <c r="N36" s="112">
        <v>210</v>
      </c>
      <c r="O36" s="112"/>
      <c r="P36" s="3"/>
      <c r="Q36" s="8">
        <f t="shared" si="1"/>
        <v>0</v>
      </c>
      <c r="R36" s="8">
        <f t="shared" si="2"/>
        <v>0</v>
      </c>
      <c r="S36" s="8">
        <f t="shared" si="3"/>
        <v>0</v>
      </c>
      <c r="T36" s="8">
        <f t="shared" si="4"/>
        <v>25662</v>
      </c>
      <c r="U36" s="8">
        <f t="shared" si="5"/>
        <v>0</v>
      </c>
      <c r="Z36"/>
    </row>
    <row r="37" spans="1:26" s="100" customFormat="1" ht="12.75" customHeight="1" x14ac:dyDescent="0.25">
      <c r="A37" s="7"/>
      <c r="C37" s="108" t="s">
        <v>68</v>
      </c>
      <c r="D37" s="109" t="s">
        <v>4</v>
      </c>
      <c r="E37" s="109" t="s">
        <v>1</v>
      </c>
      <c r="F37" s="110" t="s">
        <v>219</v>
      </c>
      <c r="G37" s="3"/>
      <c r="H37" s="111">
        <v>122.2</v>
      </c>
      <c r="I37" s="12" t="s">
        <v>41</v>
      </c>
      <c r="J37" s="3"/>
      <c r="K37" s="112">
        <v>840</v>
      </c>
      <c r="L37" s="112"/>
      <c r="M37" s="112"/>
      <c r="N37" s="112"/>
      <c r="O37" s="112"/>
      <c r="P37" s="3"/>
      <c r="Q37" s="8">
        <f t="shared" si="1"/>
        <v>102648</v>
      </c>
      <c r="R37" s="8">
        <f t="shared" si="2"/>
        <v>0</v>
      </c>
      <c r="S37" s="8">
        <f t="shared" si="3"/>
        <v>0</v>
      </c>
      <c r="T37" s="8">
        <f t="shared" si="4"/>
        <v>0</v>
      </c>
      <c r="U37" s="8">
        <f t="shared" si="5"/>
        <v>0</v>
      </c>
      <c r="Z37"/>
    </row>
    <row r="38" spans="1:26" s="100" customFormat="1" ht="12.75" customHeight="1" x14ac:dyDescent="0.25">
      <c r="A38" s="7"/>
      <c r="C38" s="108" t="s">
        <v>69</v>
      </c>
      <c r="D38" s="109" t="s">
        <v>4</v>
      </c>
      <c r="E38" s="109" t="s">
        <v>1</v>
      </c>
      <c r="F38" s="110" t="s">
        <v>219</v>
      </c>
      <c r="G38" s="3"/>
      <c r="H38" s="111">
        <v>122.2</v>
      </c>
      <c r="I38" s="12" t="s">
        <v>41</v>
      </c>
      <c r="J38" s="3"/>
      <c r="K38" s="112">
        <v>840</v>
      </c>
      <c r="L38" s="112"/>
      <c r="M38" s="112"/>
      <c r="N38" s="112"/>
      <c r="O38" s="112"/>
      <c r="P38" s="3"/>
      <c r="Q38" s="8">
        <f t="shared" si="1"/>
        <v>102648</v>
      </c>
      <c r="R38" s="8">
        <f t="shared" si="2"/>
        <v>0</v>
      </c>
      <c r="S38" s="8">
        <f t="shared" si="3"/>
        <v>0</v>
      </c>
      <c r="T38" s="8">
        <f t="shared" si="4"/>
        <v>0</v>
      </c>
      <c r="U38" s="8">
        <f t="shared" si="5"/>
        <v>0</v>
      </c>
      <c r="Z38"/>
    </row>
    <row r="39" spans="1:26" s="100" customFormat="1" ht="12.75" customHeight="1" x14ac:dyDescent="0.25">
      <c r="A39" s="7"/>
      <c r="C39" s="108" t="s">
        <v>70</v>
      </c>
      <c r="D39" s="109" t="s">
        <v>4</v>
      </c>
      <c r="E39" s="109" t="s">
        <v>1</v>
      </c>
      <c r="F39" s="110" t="s">
        <v>219</v>
      </c>
      <c r="G39" s="3"/>
      <c r="H39" s="111">
        <v>122.2</v>
      </c>
      <c r="I39" s="12" t="s">
        <v>41</v>
      </c>
      <c r="J39" s="3"/>
      <c r="K39" s="112">
        <v>1680</v>
      </c>
      <c r="L39" s="112"/>
      <c r="M39" s="112"/>
      <c r="N39" s="112"/>
      <c r="O39" s="112"/>
      <c r="P39" s="3"/>
      <c r="Q39" s="8">
        <f t="shared" si="1"/>
        <v>205296</v>
      </c>
      <c r="R39" s="8">
        <f t="shared" si="2"/>
        <v>0</v>
      </c>
      <c r="S39" s="8">
        <f t="shared" si="3"/>
        <v>0</v>
      </c>
      <c r="T39" s="8">
        <f t="shared" si="4"/>
        <v>0</v>
      </c>
      <c r="U39" s="8">
        <f t="shared" si="5"/>
        <v>0</v>
      </c>
      <c r="Z39"/>
    </row>
    <row r="40" spans="1:26" s="100" customFormat="1" ht="12.75" customHeight="1" x14ac:dyDescent="0.25">
      <c r="A40" s="7"/>
      <c r="C40" s="108" t="s">
        <v>71</v>
      </c>
      <c r="D40" s="109" t="s">
        <v>4</v>
      </c>
      <c r="E40" s="109" t="s">
        <v>1</v>
      </c>
      <c r="F40" s="110" t="s">
        <v>219</v>
      </c>
      <c r="G40" s="3"/>
      <c r="H40" s="111">
        <v>122.2</v>
      </c>
      <c r="I40" s="12" t="s">
        <v>41</v>
      </c>
      <c r="J40" s="3"/>
      <c r="K40" s="112">
        <v>840</v>
      </c>
      <c r="L40" s="112"/>
      <c r="M40" s="112"/>
      <c r="N40" s="112"/>
      <c r="O40" s="112"/>
      <c r="P40" s="3"/>
      <c r="Q40" s="8">
        <f t="shared" si="1"/>
        <v>102648</v>
      </c>
      <c r="R40" s="8">
        <f t="shared" si="2"/>
        <v>0</v>
      </c>
      <c r="S40" s="8">
        <f t="shared" si="3"/>
        <v>0</v>
      </c>
      <c r="T40" s="8">
        <f t="shared" si="4"/>
        <v>0</v>
      </c>
      <c r="U40" s="8">
        <f t="shared" si="5"/>
        <v>0</v>
      </c>
      <c r="Z40"/>
    </row>
    <row r="41" spans="1:26" s="100" customFormat="1" ht="12.75" customHeight="1" x14ac:dyDescent="0.25">
      <c r="A41" s="7"/>
      <c r="C41" s="108" t="s">
        <v>72</v>
      </c>
      <c r="D41" s="109" t="s">
        <v>4</v>
      </c>
      <c r="E41" s="109" t="s">
        <v>1</v>
      </c>
      <c r="F41" s="110" t="s">
        <v>219</v>
      </c>
      <c r="G41" s="3"/>
      <c r="H41" s="111">
        <v>122.2</v>
      </c>
      <c r="I41" s="12" t="s">
        <v>41</v>
      </c>
      <c r="J41" s="3"/>
      <c r="K41" s="112">
        <v>840</v>
      </c>
      <c r="L41" s="112"/>
      <c r="M41" s="112"/>
      <c r="N41" s="112"/>
      <c r="O41" s="112"/>
      <c r="P41" s="3"/>
      <c r="Q41" s="8">
        <f t="shared" si="1"/>
        <v>102648</v>
      </c>
      <c r="R41" s="8">
        <f t="shared" si="2"/>
        <v>0</v>
      </c>
      <c r="S41" s="8">
        <f t="shared" si="3"/>
        <v>0</v>
      </c>
      <c r="T41" s="8">
        <f t="shared" si="4"/>
        <v>0</v>
      </c>
      <c r="U41" s="8">
        <f t="shared" si="5"/>
        <v>0</v>
      </c>
      <c r="Z41"/>
    </row>
    <row r="42" spans="1:26" s="100" customFormat="1" ht="12.75" customHeight="1" x14ac:dyDescent="0.25">
      <c r="A42" s="7"/>
      <c r="C42" s="108" t="s">
        <v>73</v>
      </c>
      <c r="D42" s="109" t="s">
        <v>4</v>
      </c>
      <c r="E42" s="109" t="s">
        <v>1</v>
      </c>
      <c r="F42" s="110" t="s">
        <v>219</v>
      </c>
      <c r="G42" s="3"/>
      <c r="H42" s="111">
        <v>122.2</v>
      </c>
      <c r="I42" s="12" t="s">
        <v>41</v>
      </c>
      <c r="J42" s="3"/>
      <c r="K42" s="112">
        <v>1680</v>
      </c>
      <c r="L42" s="112"/>
      <c r="M42" s="112"/>
      <c r="N42" s="112"/>
      <c r="O42" s="112"/>
      <c r="P42" s="3"/>
      <c r="Q42" s="8">
        <f t="shared" si="1"/>
        <v>205296</v>
      </c>
      <c r="R42" s="8">
        <f t="shared" si="2"/>
        <v>0</v>
      </c>
      <c r="S42" s="8">
        <f t="shared" si="3"/>
        <v>0</v>
      </c>
      <c r="T42" s="8">
        <f t="shared" si="4"/>
        <v>0</v>
      </c>
      <c r="U42" s="8">
        <f t="shared" si="5"/>
        <v>0</v>
      </c>
      <c r="Z42"/>
    </row>
    <row r="43" spans="1:26" s="100" customFormat="1" ht="12.75" customHeight="1" x14ac:dyDescent="0.25">
      <c r="A43" s="7"/>
      <c r="C43" s="108" t="s">
        <v>74</v>
      </c>
      <c r="D43" s="109" t="s">
        <v>4</v>
      </c>
      <c r="E43" s="109" t="s">
        <v>1</v>
      </c>
      <c r="F43" s="110" t="s">
        <v>219</v>
      </c>
      <c r="G43" s="3"/>
      <c r="H43" s="111">
        <v>122.2</v>
      </c>
      <c r="I43" s="12" t="s">
        <v>41</v>
      </c>
      <c r="J43" s="3"/>
      <c r="K43" s="112">
        <v>315</v>
      </c>
      <c r="L43" s="112"/>
      <c r="M43" s="112"/>
      <c r="N43" s="112"/>
      <c r="O43" s="112"/>
      <c r="P43" s="3"/>
      <c r="Q43" s="8">
        <f t="shared" si="1"/>
        <v>38493</v>
      </c>
      <c r="R43" s="8">
        <f t="shared" si="2"/>
        <v>0</v>
      </c>
      <c r="S43" s="8">
        <f t="shared" si="3"/>
        <v>0</v>
      </c>
      <c r="T43" s="8">
        <f t="shared" si="4"/>
        <v>0</v>
      </c>
      <c r="U43" s="8">
        <f t="shared" si="5"/>
        <v>0</v>
      </c>
      <c r="Z43"/>
    </row>
    <row r="44" spans="1:26" s="100" customFormat="1" ht="12.75" customHeight="1" x14ac:dyDescent="0.25">
      <c r="A44" s="7"/>
      <c r="C44" s="108" t="s">
        <v>75</v>
      </c>
      <c r="D44" s="109" t="s">
        <v>4</v>
      </c>
      <c r="E44" s="109" t="s">
        <v>1</v>
      </c>
      <c r="F44" s="110" t="s">
        <v>219</v>
      </c>
      <c r="G44" s="3"/>
      <c r="H44" s="111">
        <v>122.2</v>
      </c>
      <c r="I44" s="12" t="s">
        <v>41</v>
      </c>
      <c r="J44" s="3"/>
      <c r="K44" s="112">
        <v>210</v>
      </c>
      <c r="L44" s="112"/>
      <c r="M44" s="112"/>
      <c r="N44" s="112"/>
      <c r="O44" s="112"/>
      <c r="P44" s="3"/>
      <c r="Q44" s="8">
        <f t="shared" si="1"/>
        <v>25662</v>
      </c>
      <c r="R44" s="8">
        <f t="shared" si="2"/>
        <v>0</v>
      </c>
      <c r="S44" s="8">
        <f t="shared" si="3"/>
        <v>0</v>
      </c>
      <c r="T44" s="8">
        <f t="shared" si="4"/>
        <v>0</v>
      </c>
      <c r="U44" s="8">
        <f t="shared" si="5"/>
        <v>0</v>
      </c>
      <c r="Z44"/>
    </row>
    <row r="45" spans="1:26" s="100" customFormat="1" ht="12.75" customHeight="1" x14ac:dyDescent="0.25">
      <c r="A45" s="7"/>
      <c r="C45" s="108" t="s">
        <v>76</v>
      </c>
      <c r="D45" s="109" t="s">
        <v>4</v>
      </c>
      <c r="E45" s="109" t="s">
        <v>1</v>
      </c>
      <c r="F45" s="110" t="s">
        <v>219</v>
      </c>
      <c r="G45" s="3"/>
      <c r="H45" s="111">
        <v>122.2</v>
      </c>
      <c r="I45" s="12" t="s">
        <v>41</v>
      </c>
      <c r="J45" s="3"/>
      <c r="K45" s="112">
        <v>420</v>
      </c>
      <c r="L45" s="112"/>
      <c r="M45" s="112"/>
      <c r="N45" s="112"/>
      <c r="O45" s="112"/>
      <c r="P45" s="3"/>
      <c r="Q45" s="8">
        <f t="shared" si="1"/>
        <v>51324</v>
      </c>
      <c r="R45" s="8">
        <f t="shared" si="2"/>
        <v>0</v>
      </c>
      <c r="S45" s="8">
        <f t="shared" si="3"/>
        <v>0</v>
      </c>
      <c r="T45" s="8">
        <f t="shared" si="4"/>
        <v>0</v>
      </c>
      <c r="U45" s="8">
        <f t="shared" si="5"/>
        <v>0</v>
      </c>
      <c r="Z45"/>
    </row>
    <row r="46" spans="1:26" s="100" customFormat="1" ht="12.75" customHeight="1" x14ac:dyDescent="0.25">
      <c r="A46" s="7"/>
      <c r="C46" s="108" t="s">
        <v>77</v>
      </c>
      <c r="D46" s="109" t="s">
        <v>4</v>
      </c>
      <c r="E46" s="109" t="s">
        <v>1</v>
      </c>
      <c r="F46" s="110" t="s">
        <v>219</v>
      </c>
      <c r="G46" s="3"/>
      <c r="H46" s="111">
        <v>122.2</v>
      </c>
      <c r="I46" s="12" t="s">
        <v>41</v>
      </c>
      <c r="J46" s="3"/>
      <c r="K46" s="112">
        <v>315</v>
      </c>
      <c r="L46" s="112"/>
      <c r="M46" s="112"/>
      <c r="N46" s="112"/>
      <c r="O46" s="112"/>
      <c r="P46" s="3"/>
      <c r="Q46" s="8">
        <f t="shared" si="1"/>
        <v>38493</v>
      </c>
      <c r="R46" s="8">
        <f t="shared" si="2"/>
        <v>0</v>
      </c>
      <c r="S46" s="8">
        <f t="shared" si="3"/>
        <v>0</v>
      </c>
      <c r="T46" s="8">
        <f t="shared" si="4"/>
        <v>0</v>
      </c>
      <c r="U46" s="8">
        <f t="shared" si="5"/>
        <v>0</v>
      </c>
      <c r="Z46"/>
    </row>
    <row r="47" spans="1:26" s="100" customFormat="1" ht="12.75" customHeight="1" x14ac:dyDescent="0.25">
      <c r="A47" s="7"/>
      <c r="C47" s="108" t="s">
        <v>78</v>
      </c>
      <c r="D47" s="109" t="s">
        <v>4</v>
      </c>
      <c r="E47" s="109" t="s">
        <v>1</v>
      </c>
      <c r="F47" s="110" t="s">
        <v>219</v>
      </c>
      <c r="G47" s="3"/>
      <c r="H47" s="111">
        <v>122.2</v>
      </c>
      <c r="I47" s="12" t="s">
        <v>41</v>
      </c>
      <c r="J47" s="3"/>
      <c r="K47" s="112">
        <v>840</v>
      </c>
      <c r="L47" s="112"/>
      <c r="M47" s="112"/>
      <c r="N47" s="112"/>
      <c r="O47" s="112"/>
      <c r="P47" s="3"/>
      <c r="Q47" s="8">
        <f t="shared" si="1"/>
        <v>102648</v>
      </c>
      <c r="R47" s="8">
        <f t="shared" si="2"/>
        <v>0</v>
      </c>
      <c r="S47" s="8">
        <f t="shared" si="3"/>
        <v>0</v>
      </c>
      <c r="T47" s="8">
        <f t="shared" si="4"/>
        <v>0</v>
      </c>
      <c r="U47" s="8">
        <f t="shared" si="5"/>
        <v>0</v>
      </c>
      <c r="Z47"/>
    </row>
    <row r="48" spans="1:26" s="100" customFormat="1" ht="12.75" customHeight="1" x14ac:dyDescent="0.25">
      <c r="A48" s="7"/>
      <c r="C48" s="108" t="s">
        <v>195</v>
      </c>
      <c r="D48" s="109" t="s">
        <v>4</v>
      </c>
      <c r="E48" s="109" t="s">
        <v>1</v>
      </c>
      <c r="F48" s="110" t="s">
        <v>220</v>
      </c>
      <c r="G48" s="3"/>
      <c r="H48" s="111">
        <v>122.2</v>
      </c>
      <c r="I48" s="12" t="s">
        <v>41</v>
      </c>
      <c r="J48" s="3"/>
      <c r="K48" s="112">
        <v>900</v>
      </c>
      <c r="L48" s="112">
        <v>974.99999999999977</v>
      </c>
      <c r="M48" s="112">
        <v>1425</v>
      </c>
      <c r="N48" s="112">
        <v>900</v>
      </c>
      <c r="O48" s="112">
        <v>900</v>
      </c>
      <c r="P48" s="3"/>
      <c r="Q48" s="8">
        <f t="shared" si="1"/>
        <v>109980</v>
      </c>
      <c r="R48" s="8">
        <f t="shared" si="2"/>
        <v>119144.99999999997</v>
      </c>
      <c r="S48" s="8">
        <f t="shared" si="3"/>
        <v>174135</v>
      </c>
      <c r="T48" s="8">
        <f t="shared" si="4"/>
        <v>109980</v>
      </c>
      <c r="U48" s="8">
        <f t="shared" si="5"/>
        <v>109980</v>
      </c>
      <c r="Z48"/>
    </row>
    <row r="49" spans="1:26" s="100" customFormat="1" ht="12.75" customHeight="1" x14ac:dyDescent="0.25">
      <c r="A49" s="7"/>
      <c r="C49" s="108" t="s">
        <v>196</v>
      </c>
      <c r="D49" s="109" t="s">
        <v>4</v>
      </c>
      <c r="E49" s="109" t="s">
        <v>1</v>
      </c>
      <c r="F49" s="110" t="s">
        <v>220</v>
      </c>
      <c r="G49" s="3"/>
      <c r="H49" s="111">
        <v>122.2</v>
      </c>
      <c r="I49" s="12" t="s">
        <v>41</v>
      </c>
      <c r="J49" s="3"/>
      <c r="K49" s="112">
        <v>180</v>
      </c>
      <c r="L49" s="112">
        <v>555</v>
      </c>
      <c r="M49" s="112">
        <v>1364.9999999999998</v>
      </c>
      <c r="N49" s="112">
        <v>187.5</v>
      </c>
      <c r="O49" s="112">
        <v>180</v>
      </c>
      <c r="P49" s="3"/>
      <c r="Q49" s="8">
        <f t="shared" si="1"/>
        <v>21996</v>
      </c>
      <c r="R49" s="8">
        <f t="shared" si="2"/>
        <v>67821</v>
      </c>
      <c r="S49" s="8">
        <f t="shared" si="3"/>
        <v>166802.99999999997</v>
      </c>
      <c r="T49" s="8">
        <f t="shared" si="4"/>
        <v>22912.5</v>
      </c>
      <c r="U49" s="8">
        <f t="shared" si="5"/>
        <v>21996</v>
      </c>
      <c r="Z49"/>
    </row>
    <row r="50" spans="1:26" s="100" customFormat="1" ht="12.75" customHeight="1" x14ac:dyDescent="0.25">
      <c r="A50" s="7"/>
      <c r="C50" s="108" t="s">
        <v>197</v>
      </c>
      <c r="D50" s="109" t="s">
        <v>4</v>
      </c>
      <c r="E50" s="109" t="s">
        <v>1</v>
      </c>
      <c r="F50" s="110" t="s">
        <v>220</v>
      </c>
      <c r="G50" s="3"/>
      <c r="H50" s="111">
        <v>122.2</v>
      </c>
      <c r="I50" s="12" t="s">
        <v>41</v>
      </c>
      <c r="J50" s="3"/>
      <c r="K50" s="112">
        <v>900</v>
      </c>
      <c r="L50" s="112">
        <v>1875</v>
      </c>
      <c r="M50" s="112">
        <v>4125</v>
      </c>
      <c r="N50" s="112">
        <v>900</v>
      </c>
      <c r="O50" s="112">
        <v>900</v>
      </c>
      <c r="P50" s="3"/>
      <c r="Q50" s="8">
        <f t="shared" si="1"/>
        <v>109980</v>
      </c>
      <c r="R50" s="8">
        <f t="shared" si="2"/>
        <v>229125</v>
      </c>
      <c r="S50" s="8">
        <f t="shared" si="3"/>
        <v>504075</v>
      </c>
      <c r="T50" s="8">
        <f t="shared" si="4"/>
        <v>109980</v>
      </c>
      <c r="U50" s="8">
        <f t="shared" si="5"/>
        <v>109980</v>
      </c>
      <c r="Z50"/>
    </row>
    <row r="51" spans="1:26" s="100" customFormat="1" ht="12.75" customHeight="1" x14ac:dyDescent="0.25">
      <c r="A51" s="7"/>
      <c r="C51" s="108" t="s">
        <v>198</v>
      </c>
      <c r="D51" s="109" t="s">
        <v>4</v>
      </c>
      <c r="E51" s="109" t="s">
        <v>1</v>
      </c>
      <c r="F51" s="110" t="s">
        <v>220</v>
      </c>
      <c r="G51" s="3"/>
      <c r="H51" s="111">
        <v>122.2</v>
      </c>
      <c r="I51" s="12" t="s">
        <v>41</v>
      </c>
      <c r="J51" s="3"/>
      <c r="K51" s="112"/>
      <c r="L51" s="112">
        <v>450</v>
      </c>
      <c r="M51" s="112">
        <v>1350</v>
      </c>
      <c r="N51" s="112"/>
      <c r="O51" s="112"/>
      <c r="P51" s="3"/>
      <c r="Q51" s="8">
        <f t="shared" si="1"/>
        <v>0</v>
      </c>
      <c r="R51" s="8">
        <f t="shared" si="2"/>
        <v>54990</v>
      </c>
      <c r="S51" s="8">
        <f t="shared" si="3"/>
        <v>164970</v>
      </c>
      <c r="T51" s="8">
        <f t="shared" si="4"/>
        <v>0</v>
      </c>
      <c r="U51" s="8">
        <f t="shared" si="5"/>
        <v>0</v>
      </c>
      <c r="Z51"/>
    </row>
    <row r="52" spans="1:26" s="100" customFormat="1" ht="12.75" customHeight="1" x14ac:dyDescent="0.25">
      <c r="A52" s="7"/>
      <c r="C52" s="108" t="s">
        <v>199</v>
      </c>
      <c r="D52" s="109" t="s">
        <v>4</v>
      </c>
      <c r="E52" s="109" t="s">
        <v>1</v>
      </c>
      <c r="F52" s="110" t="s">
        <v>220</v>
      </c>
      <c r="G52" s="3"/>
      <c r="H52" s="111">
        <v>122.2</v>
      </c>
      <c r="I52" s="12" t="s">
        <v>41</v>
      </c>
      <c r="J52" s="3"/>
      <c r="K52" s="112">
        <v>900</v>
      </c>
      <c r="L52" s="112">
        <v>2325</v>
      </c>
      <c r="M52" s="112">
        <v>5475</v>
      </c>
      <c r="N52" s="112">
        <v>900</v>
      </c>
      <c r="O52" s="112">
        <v>900</v>
      </c>
      <c r="P52" s="3"/>
      <c r="Q52" s="8">
        <f t="shared" si="1"/>
        <v>109980</v>
      </c>
      <c r="R52" s="8">
        <f t="shared" si="2"/>
        <v>284115</v>
      </c>
      <c r="S52" s="8">
        <f t="shared" si="3"/>
        <v>669045</v>
      </c>
      <c r="T52" s="8">
        <f t="shared" si="4"/>
        <v>109980</v>
      </c>
      <c r="U52" s="8">
        <f t="shared" si="5"/>
        <v>109980</v>
      </c>
      <c r="Z52"/>
    </row>
    <row r="53" spans="1:26" s="100" customFormat="1" ht="12.75" customHeight="1" x14ac:dyDescent="0.25">
      <c r="A53" s="7"/>
      <c r="C53" s="108" t="s">
        <v>200</v>
      </c>
      <c r="D53" s="109" t="s">
        <v>4</v>
      </c>
      <c r="E53" s="109" t="s">
        <v>1</v>
      </c>
      <c r="F53" s="110" t="s">
        <v>220</v>
      </c>
      <c r="G53" s="3"/>
      <c r="H53" s="111">
        <v>122.2</v>
      </c>
      <c r="I53" s="12" t="s">
        <v>41</v>
      </c>
      <c r="J53" s="3"/>
      <c r="K53" s="112"/>
      <c r="L53" s="112">
        <v>450</v>
      </c>
      <c r="M53" s="112">
        <v>1350</v>
      </c>
      <c r="N53" s="112"/>
      <c r="O53" s="112"/>
      <c r="P53" s="3"/>
      <c r="Q53" s="8">
        <f t="shared" si="1"/>
        <v>0</v>
      </c>
      <c r="R53" s="8">
        <f t="shared" si="2"/>
        <v>54990</v>
      </c>
      <c r="S53" s="8">
        <f t="shared" si="3"/>
        <v>164970</v>
      </c>
      <c r="T53" s="8">
        <f t="shared" si="4"/>
        <v>0</v>
      </c>
      <c r="U53" s="8">
        <f t="shared" si="5"/>
        <v>0</v>
      </c>
      <c r="Z53"/>
    </row>
    <row r="54" spans="1:26" s="100" customFormat="1" ht="12.75" customHeight="1" x14ac:dyDescent="0.25">
      <c r="A54" s="7"/>
      <c r="C54" s="115" t="s">
        <v>201</v>
      </c>
      <c r="D54" s="109" t="s">
        <v>4</v>
      </c>
      <c r="E54" s="109" t="s">
        <v>1</v>
      </c>
      <c r="F54" s="110" t="s">
        <v>220</v>
      </c>
      <c r="G54" s="3"/>
      <c r="H54" s="111">
        <v>122.2</v>
      </c>
      <c r="I54" s="12" t="s">
        <v>41</v>
      </c>
      <c r="J54" s="3"/>
      <c r="K54" s="112">
        <v>900</v>
      </c>
      <c r="L54" s="112">
        <v>2025</v>
      </c>
      <c r="M54" s="112">
        <v>5475</v>
      </c>
      <c r="N54" s="112">
        <v>900</v>
      </c>
      <c r="O54" s="112">
        <v>900</v>
      </c>
      <c r="P54" s="3"/>
      <c r="Q54" s="8">
        <f t="shared" si="1"/>
        <v>109980</v>
      </c>
      <c r="R54" s="8">
        <f t="shared" si="2"/>
        <v>247455</v>
      </c>
      <c r="S54" s="8">
        <f t="shared" si="3"/>
        <v>669045</v>
      </c>
      <c r="T54" s="8">
        <f t="shared" si="4"/>
        <v>109980</v>
      </c>
      <c r="U54" s="8">
        <f t="shared" si="5"/>
        <v>109980</v>
      </c>
      <c r="Z54"/>
    </row>
    <row r="55" spans="1:26" s="100" customFormat="1" ht="12.75" customHeight="1" x14ac:dyDescent="0.25">
      <c r="A55" s="7"/>
      <c r="C55" s="115" t="s">
        <v>79</v>
      </c>
      <c r="D55" s="109" t="s">
        <v>4</v>
      </c>
      <c r="E55" s="109" t="s">
        <v>1</v>
      </c>
      <c r="F55" s="110" t="s">
        <v>219</v>
      </c>
      <c r="G55" s="3"/>
      <c r="H55" s="111">
        <v>122.2</v>
      </c>
      <c r="I55" s="12" t="s">
        <v>41</v>
      </c>
      <c r="J55" s="3"/>
      <c r="K55" s="112"/>
      <c r="L55" s="112"/>
      <c r="M55" s="112">
        <v>600</v>
      </c>
      <c r="N55" s="112"/>
      <c r="O55" s="112"/>
      <c r="P55" s="3"/>
      <c r="Q55" s="8">
        <f t="shared" si="1"/>
        <v>0</v>
      </c>
      <c r="R55" s="8">
        <f t="shared" si="2"/>
        <v>0</v>
      </c>
      <c r="S55" s="8">
        <f t="shared" si="3"/>
        <v>73320</v>
      </c>
      <c r="T55" s="8">
        <f t="shared" si="4"/>
        <v>0</v>
      </c>
      <c r="U55" s="8">
        <f t="shared" si="5"/>
        <v>0</v>
      </c>
      <c r="Z55"/>
    </row>
    <row r="56" spans="1:26" s="100" customFormat="1" ht="12.75" customHeight="1" x14ac:dyDescent="0.25">
      <c r="A56" s="7"/>
      <c r="C56" s="115" t="s">
        <v>80</v>
      </c>
      <c r="D56" s="109" t="s">
        <v>4</v>
      </c>
      <c r="E56" s="109" t="s">
        <v>1</v>
      </c>
      <c r="F56" s="110" t="s">
        <v>219</v>
      </c>
      <c r="G56" s="3"/>
      <c r="H56" s="111">
        <v>122.2</v>
      </c>
      <c r="I56" s="12" t="s">
        <v>41</v>
      </c>
      <c r="J56" s="3"/>
      <c r="K56" s="112"/>
      <c r="L56" s="112"/>
      <c r="M56" s="112">
        <v>800</v>
      </c>
      <c r="N56" s="112"/>
      <c r="O56" s="112"/>
      <c r="P56" s="3"/>
      <c r="Q56" s="8">
        <f t="shared" si="1"/>
        <v>0</v>
      </c>
      <c r="R56" s="8">
        <f t="shared" si="2"/>
        <v>0</v>
      </c>
      <c r="S56" s="8">
        <f t="shared" si="3"/>
        <v>97760</v>
      </c>
      <c r="T56" s="8">
        <f t="shared" si="4"/>
        <v>0</v>
      </c>
      <c r="U56" s="8">
        <f t="shared" si="5"/>
        <v>0</v>
      </c>
      <c r="Z56"/>
    </row>
    <row r="57" spans="1:26" s="100" customFormat="1" ht="12.75" customHeight="1" x14ac:dyDescent="0.25">
      <c r="A57" s="7"/>
      <c r="C57" s="115" t="s">
        <v>81</v>
      </c>
      <c r="D57" s="109" t="s">
        <v>4</v>
      </c>
      <c r="E57" s="109" t="s">
        <v>1</v>
      </c>
      <c r="F57" s="110" t="s">
        <v>219</v>
      </c>
      <c r="G57" s="3"/>
      <c r="H57" s="111">
        <v>122.2</v>
      </c>
      <c r="I57" s="12" t="s">
        <v>41</v>
      </c>
      <c r="J57" s="3"/>
      <c r="K57" s="112"/>
      <c r="L57" s="112"/>
      <c r="M57" s="112">
        <v>1200</v>
      </c>
      <c r="N57" s="112"/>
      <c r="O57" s="112"/>
      <c r="P57" s="3"/>
      <c r="Q57" s="8">
        <f t="shared" si="1"/>
        <v>0</v>
      </c>
      <c r="R57" s="8">
        <f t="shared" si="2"/>
        <v>0</v>
      </c>
      <c r="S57" s="8">
        <f t="shared" si="3"/>
        <v>146640</v>
      </c>
      <c r="T57" s="8">
        <f t="shared" si="4"/>
        <v>0</v>
      </c>
      <c r="U57" s="8">
        <f t="shared" si="5"/>
        <v>0</v>
      </c>
      <c r="Z57"/>
    </row>
    <row r="58" spans="1:26" s="100" customFormat="1" ht="12.75" customHeight="1" x14ac:dyDescent="0.25">
      <c r="A58" s="7"/>
      <c r="C58" s="115" t="s">
        <v>82</v>
      </c>
      <c r="D58" s="109" t="s">
        <v>4</v>
      </c>
      <c r="E58" s="109" t="s">
        <v>1</v>
      </c>
      <c r="F58" s="110" t="s">
        <v>219</v>
      </c>
      <c r="G58" s="3"/>
      <c r="H58" s="111">
        <v>122.2</v>
      </c>
      <c r="I58" s="12" t="s">
        <v>41</v>
      </c>
      <c r="J58" s="3"/>
      <c r="K58" s="112"/>
      <c r="L58" s="112"/>
      <c r="M58" s="112">
        <v>2500</v>
      </c>
      <c r="N58" s="112"/>
      <c r="O58" s="112"/>
      <c r="P58" s="3"/>
      <c r="Q58" s="8">
        <f t="shared" si="1"/>
        <v>0</v>
      </c>
      <c r="R58" s="8">
        <f t="shared" si="2"/>
        <v>0</v>
      </c>
      <c r="S58" s="8">
        <f t="shared" si="3"/>
        <v>305500</v>
      </c>
      <c r="T58" s="8">
        <f t="shared" si="4"/>
        <v>0</v>
      </c>
      <c r="U58" s="8">
        <f t="shared" si="5"/>
        <v>0</v>
      </c>
      <c r="Z58"/>
    </row>
    <row r="59" spans="1:26" s="100" customFormat="1" ht="12.75" customHeight="1" x14ac:dyDescent="0.25">
      <c r="A59" s="7"/>
      <c r="C59" s="115" t="s">
        <v>83</v>
      </c>
      <c r="D59" s="109" t="s">
        <v>4</v>
      </c>
      <c r="E59" s="109" t="s">
        <v>1</v>
      </c>
      <c r="F59" s="110" t="s">
        <v>219</v>
      </c>
      <c r="G59" s="3"/>
      <c r="H59" s="111">
        <v>122.2</v>
      </c>
      <c r="I59" s="12" t="s">
        <v>41</v>
      </c>
      <c r="J59" s="3"/>
      <c r="K59" s="112"/>
      <c r="L59" s="112"/>
      <c r="M59" s="112">
        <v>2500</v>
      </c>
      <c r="N59" s="112"/>
      <c r="O59" s="112"/>
      <c r="P59" s="3"/>
      <c r="Q59" s="8">
        <f t="shared" ref="Q59:Q72" si="6">K59*$H59</f>
        <v>0</v>
      </c>
      <c r="R59" s="8">
        <f t="shared" ref="R59:R72" si="7">L59*$H59</f>
        <v>0</v>
      </c>
      <c r="S59" s="8">
        <f t="shared" ref="S59:S72" si="8">M59*$H59</f>
        <v>305500</v>
      </c>
      <c r="T59" s="8">
        <f t="shared" ref="T59:T72" si="9">N59*$H59</f>
        <v>0</v>
      </c>
      <c r="U59" s="8">
        <f t="shared" ref="U59:U72" si="10">O59*$H59</f>
        <v>0</v>
      </c>
      <c r="Z59"/>
    </row>
    <row r="60" spans="1:26" s="100" customFormat="1" ht="12.75" customHeight="1" x14ac:dyDescent="0.25">
      <c r="A60" s="7"/>
      <c r="C60" s="115" t="s">
        <v>84</v>
      </c>
      <c r="D60" s="109" t="s">
        <v>4</v>
      </c>
      <c r="E60" s="109" t="s">
        <v>1</v>
      </c>
      <c r="F60" s="110" t="s">
        <v>219</v>
      </c>
      <c r="G60" s="3"/>
      <c r="H60" s="111">
        <v>122.2</v>
      </c>
      <c r="I60" s="12" t="s">
        <v>41</v>
      </c>
      <c r="J60" s="3"/>
      <c r="K60" s="112"/>
      <c r="L60" s="112"/>
      <c r="M60" s="112">
        <v>2500</v>
      </c>
      <c r="N60" s="112"/>
      <c r="O60" s="112"/>
      <c r="P60" s="3"/>
      <c r="Q60" s="8">
        <f t="shared" si="6"/>
        <v>0</v>
      </c>
      <c r="R60" s="8">
        <f t="shared" si="7"/>
        <v>0</v>
      </c>
      <c r="S60" s="8">
        <f t="shared" si="8"/>
        <v>305500</v>
      </c>
      <c r="T60" s="8">
        <f t="shared" si="9"/>
        <v>0</v>
      </c>
      <c r="U60" s="8">
        <f t="shared" si="10"/>
        <v>0</v>
      </c>
      <c r="Z60"/>
    </row>
    <row r="61" spans="1:26" s="100" customFormat="1" ht="12.75" customHeight="1" x14ac:dyDescent="0.25">
      <c r="A61" s="7"/>
      <c r="C61" s="115" t="s">
        <v>202</v>
      </c>
      <c r="D61" s="109" t="s">
        <v>4</v>
      </c>
      <c r="E61" s="109" t="s">
        <v>1</v>
      </c>
      <c r="F61" s="110" t="s">
        <v>219</v>
      </c>
      <c r="G61" s="3"/>
      <c r="H61" s="111">
        <v>122.2</v>
      </c>
      <c r="I61" s="12" t="s">
        <v>41</v>
      </c>
      <c r="J61" s="3"/>
      <c r="K61" s="112"/>
      <c r="L61" s="112"/>
      <c r="M61" s="112">
        <v>315</v>
      </c>
      <c r="N61" s="112"/>
      <c r="O61" s="112"/>
      <c r="P61" s="3"/>
      <c r="Q61" s="8">
        <f t="shared" si="6"/>
        <v>0</v>
      </c>
      <c r="R61" s="8">
        <f t="shared" si="7"/>
        <v>0</v>
      </c>
      <c r="S61" s="8">
        <f t="shared" si="8"/>
        <v>38493</v>
      </c>
      <c r="T61" s="8">
        <f t="shared" si="9"/>
        <v>0</v>
      </c>
      <c r="U61" s="8">
        <f t="shared" si="10"/>
        <v>0</v>
      </c>
      <c r="Z61"/>
    </row>
    <row r="62" spans="1:26" s="100" customFormat="1" ht="12.75" customHeight="1" x14ac:dyDescent="0.25">
      <c r="A62" s="7"/>
      <c r="C62" s="115" t="s">
        <v>203</v>
      </c>
      <c r="D62" s="109" t="s">
        <v>4</v>
      </c>
      <c r="E62" s="109" t="s">
        <v>1</v>
      </c>
      <c r="F62" s="110" t="s">
        <v>219</v>
      </c>
      <c r="G62" s="3"/>
      <c r="H62" s="111">
        <v>122.2</v>
      </c>
      <c r="I62" s="12" t="s">
        <v>41</v>
      </c>
      <c r="J62" s="3"/>
      <c r="K62" s="112"/>
      <c r="L62" s="112"/>
      <c r="M62" s="112">
        <v>630</v>
      </c>
      <c r="N62" s="112"/>
      <c r="O62" s="112"/>
      <c r="P62" s="3"/>
      <c r="Q62" s="8">
        <f t="shared" si="6"/>
        <v>0</v>
      </c>
      <c r="R62" s="8">
        <f t="shared" si="7"/>
        <v>0</v>
      </c>
      <c r="S62" s="8">
        <f t="shared" si="8"/>
        <v>76986</v>
      </c>
      <c r="T62" s="8">
        <f t="shared" si="9"/>
        <v>0</v>
      </c>
      <c r="U62" s="8">
        <f t="shared" si="10"/>
        <v>0</v>
      </c>
      <c r="Z62"/>
    </row>
    <row r="63" spans="1:26" s="100" customFormat="1" ht="12.75" customHeight="1" x14ac:dyDescent="0.25">
      <c r="A63" s="7"/>
      <c r="C63" s="115" t="s">
        <v>204</v>
      </c>
      <c r="D63" s="109" t="s">
        <v>4</v>
      </c>
      <c r="E63" s="109" t="s">
        <v>1</v>
      </c>
      <c r="F63" s="110" t="s">
        <v>219</v>
      </c>
      <c r="G63" s="3"/>
      <c r="H63" s="111">
        <v>122.2</v>
      </c>
      <c r="I63" s="12" t="s">
        <v>41</v>
      </c>
      <c r="J63" s="3"/>
      <c r="K63" s="112"/>
      <c r="L63" s="112"/>
      <c r="M63" s="112">
        <v>630</v>
      </c>
      <c r="N63" s="112"/>
      <c r="O63" s="112"/>
      <c r="P63" s="3"/>
      <c r="Q63" s="8">
        <f t="shared" si="6"/>
        <v>0</v>
      </c>
      <c r="R63" s="8">
        <f t="shared" si="7"/>
        <v>0</v>
      </c>
      <c r="S63" s="8">
        <f t="shared" si="8"/>
        <v>76986</v>
      </c>
      <c r="T63" s="8">
        <f t="shared" si="9"/>
        <v>0</v>
      </c>
      <c r="U63" s="8">
        <f t="shared" si="10"/>
        <v>0</v>
      </c>
      <c r="Z63"/>
    </row>
    <row r="64" spans="1:26" s="100" customFormat="1" ht="12.75" customHeight="1" x14ac:dyDescent="0.25">
      <c r="A64" s="7"/>
      <c r="C64" s="115" t="s">
        <v>205</v>
      </c>
      <c r="D64" s="109" t="s">
        <v>4</v>
      </c>
      <c r="E64" s="109" t="s">
        <v>1</v>
      </c>
      <c r="F64" s="110" t="s">
        <v>219</v>
      </c>
      <c r="G64" s="3"/>
      <c r="H64" s="111">
        <v>122.2</v>
      </c>
      <c r="I64" s="12" t="s">
        <v>41</v>
      </c>
      <c r="J64" s="3"/>
      <c r="K64" s="112"/>
      <c r="L64" s="112"/>
      <c r="M64" s="112">
        <v>630</v>
      </c>
      <c r="N64" s="112"/>
      <c r="O64" s="112"/>
      <c r="P64" s="3"/>
      <c r="Q64" s="8">
        <f t="shared" si="6"/>
        <v>0</v>
      </c>
      <c r="R64" s="8">
        <f t="shared" si="7"/>
        <v>0</v>
      </c>
      <c r="S64" s="8">
        <f t="shared" si="8"/>
        <v>76986</v>
      </c>
      <c r="T64" s="8">
        <f t="shared" si="9"/>
        <v>0</v>
      </c>
      <c r="U64" s="8">
        <f t="shared" si="10"/>
        <v>0</v>
      </c>
      <c r="Z64"/>
    </row>
    <row r="65" spans="1:26" s="100" customFormat="1" ht="12.75" customHeight="1" x14ac:dyDescent="0.25">
      <c r="A65" s="7"/>
      <c r="C65" s="115" t="s">
        <v>206</v>
      </c>
      <c r="D65" s="109" t="s">
        <v>4</v>
      </c>
      <c r="E65" s="109" t="s">
        <v>1</v>
      </c>
      <c r="F65" s="110" t="s">
        <v>219</v>
      </c>
      <c r="G65" s="3"/>
      <c r="H65" s="111">
        <v>122.2</v>
      </c>
      <c r="I65" s="12" t="s">
        <v>41</v>
      </c>
      <c r="J65" s="3"/>
      <c r="K65" s="112"/>
      <c r="L65" s="112"/>
      <c r="M65" s="112">
        <v>630</v>
      </c>
      <c r="N65" s="112"/>
      <c r="O65" s="112"/>
      <c r="P65" s="3"/>
      <c r="Q65" s="8">
        <f t="shared" si="6"/>
        <v>0</v>
      </c>
      <c r="R65" s="8">
        <f t="shared" si="7"/>
        <v>0</v>
      </c>
      <c r="S65" s="8">
        <f t="shared" si="8"/>
        <v>76986</v>
      </c>
      <c r="T65" s="8">
        <f t="shared" si="9"/>
        <v>0</v>
      </c>
      <c r="U65" s="8">
        <f t="shared" si="10"/>
        <v>0</v>
      </c>
      <c r="Z65"/>
    </row>
    <row r="66" spans="1:26" s="100" customFormat="1" ht="12.75" customHeight="1" x14ac:dyDescent="0.25">
      <c r="A66" s="7"/>
      <c r="C66" s="115" t="s">
        <v>207</v>
      </c>
      <c r="D66" s="109" t="s">
        <v>4</v>
      </c>
      <c r="E66" s="109" t="s">
        <v>1</v>
      </c>
      <c r="F66" s="110" t="s">
        <v>219</v>
      </c>
      <c r="G66" s="3"/>
      <c r="H66" s="111">
        <v>122.2</v>
      </c>
      <c r="I66" s="12" t="s">
        <v>41</v>
      </c>
      <c r="J66" s="3"/>
      <c r="K66" s="112"/>
      <c r="L66" s="112"/>
      <c r="M66" s="112">
        <v>105</v>
      </c>
      <c r="N66" s="112"/>
      <c r="O66" s="112"/>
      <c r="P66" s="3"/>
      <c r="Q66" s="8">
        <f t="shared" si="6"/>
        <v>0</v>
      </c>
      <c r="R66" s="8">
        <f t="shared" si="7"/>
        <v>0</v>
      </c>
      <c r="S66" s="8">
        <f t="shared" si="8"/>
        <v>12831</v>
      </c>
      <c r="T66" s="8">
        <f t="shared" si="9"/>
        <v>0</v>
      </c>
      <c r="U66" s="8">
        <f t="shared" si="10"/>
        <v>0</v>
      </c>
      <c r="Z66"/>
    </row>
    <row r="67" spans="1:26" s="100" customFormat="1" ht="12.75" customHeight="1" x14ac:dyDescent="0.25">
      <c r="A67" s="7"/>
      <c r="C67" s="115" t="s">
        <v>90</v>
      </c>
      <c r="D67" s="109" t="s">
        <v>4</v>
      </c>
      <c r="E67" s="109" t="s">
        <v>1</v>
      </c>
      <c r="F67" s="110" t="s">
        <v>219</v>
      </c>
      <c r="G67" s="3"/>
      <c r="H67" s="111">
        <v>122.2</v>
      </c>
      <c r="I67" s="12" t="s">
        <v>41</v>
      </c>
      <c r="J67" s="3"/>
      <c r="K67" s="112"/>
      <c r="L67" s="112"/>
      <c r="M67" s="112"/>
      <c r="N67" s="112">
        <v>604.79999999999995</v>
      </c>
      <c r="O67" s="112"/>
      <c r="P67" s="3"/>
      <c r="Q67" s="8">
        <f t="shared" si="6"/>
        <v>0</v>
      </c>
      <c r="R67" s="8">
        <f t="shared" si="7"/>
        <v>0</v>
      </c>
      <c r="S67" s="8">
        <f t="shared" si="8"/>
        <v>0</v>
      </c>
      <c r="T67" s="8">
        <f t="shared" si="9"/>
        <v>73906.559999999998</v>
      </c>
      <c r="U67" s="8">
        <f t="shared" si="10"/>
        <v>0</v>
      </c>
      <c r="Z67"/>
    </row>
    <row r="68" spans="1:26" s="100" customFormat="1" ht="12.75" customHeight="1" x14ac:dyDescent="0.25">
      <c r="A68" s="7"/>
      <c r="C68" s="115" t="s">
        <v>91</v>
      </c>
      <c r="D68" s="109" t="s">
        <v>4</v>
      </c>
      <c r="E68" s="109" t="s">
        <v>1</v>
      </c>
      <c r="F68" s="110" t="s">
        <v>219</v>
      </c>
      <c r="G68" s="3"/>
      <c r="H68" s="111">
        <v>122.2</v>
      </c>
      <c r="I68" s="12" t="s">
        <v>41</v>
      </c>
      <c r="J68" s="3"/>
      <c r="K68" s="112"/>
      <c r="L68" s="112"/>
      <c r="M68" s="112"/>
      <c r="N68" s="112">
        <v>756</v>
      </c>
      <c r="O68" s="112"/>
      <c r="P68" s="3"/>
      <c r="Q68" s="8">
        <f t="shared" si="6"/>
        <v>0</v>
      </c>
      <c r="R68" s="8">
        <f t="shared" si="7"/>
        <v>0</v>
      </c>
      <c r="S68" s="8">
        <f t="shared" si="8"/>
        <v>0</v>
      </c>
      <c r="T68" s="8">
        <f t="shared" si="9"/>
        <v>92383.2</v>
      </c>
      <c r="U68" s="8">
        <f t="shared" si="10"/>
        <v>0</v>
      </c>
      <c r="Z68"/>
    </row>
    <row r="69" spans="1:26" s="100" customFormat="1" ht="12.75" customHeight="1" x14ac:dyDescent="0.25">
      <c r="A69" s="7"/>
      <c r="C69" s="115" t="s">
        <v>92</v>
      </c>
      <c r="D69" s="109" t="s">
        <v>4</v>
      </c>
      <c r="E69" s="109" t="s">
        <v>1</v>
      </c>
      <c r="F69" s="110" t="s">
        <v>219</v>
      </c>
      <c r="G69" s="3"/>
      <c r="H69" s="111">
        <v>122.2</v>
      </c>
      <c r="I69" s="12" t="s">
        <v>41</v>
      </c>
      <c r="J69" s="3"/>
      <c r="K69" s="112"/>
      <c r="L69" s="112"/>
      <c r="M69" s="112"/>
      <c r="N69" s="112">
        <v>1134</v>
      </c>
      <c r="O69" s="112"/>
      <c r="P69" s="3"/>
      <c r="Q69" s="8">
        <f t="shared" si="6"/>
        <v>0</v>
      </c>
      <c r="R69" s="8">
        <f t="shared" si="7"/>
        <v>0</v>
      </c>
      <c r="S69" s="8">
        <f t="shared" si="8"/>
        <v>0</v>
      </c>
      <c r="T69" s="8">
        <f t="shared" si="9"/>
        <v>138574.80000000002</v>
      </c>
      <c r="U69" s="8">
        <f t="shared" si="10"/>
        <v>0</v>
      </c>
      <c r="Z69"/>
    </row>
    <row r="70" spans="1:26" s="100" customFormat="1" ht="12.75" customHeight="1" x14ac:dyDescent="0.25">
      <c r="A70" s="7"/>
      <c r="C70" s="115" t="s">
        <v>93</v>
      </c>
      <c r="D70" s="109" t="s">
        <v>4</v>
      </c>
      <c r="E70" s="109" t="s">
        <v>1</v>
      </c>
      <c r="F70" s="110" t="s">
        <v>219</v>
      </c>
      <c r="G70" s="3"/>
      <c r="H70" s="111">
        <v>122.2</v>
      </c>
      <c r="I70" s="12" t="s">
        <v>41</v>
      </c>
      <c r="J70" s="3"/>
      <c r="K70" s="112"/>
      <c r="L70" s="112"/>
      <c r="M70" s="112"/>
      <c r="N70" s="112">
        <v>3150</v>
      </c>
      <c r="O70" s="112"/>
      <c r="P70" s="3"/>
      <c r="Q70" s="8">
        <f t="shared" si="6"/>
        <v>0</v>
      </c>
      <c r="R70" s="8">
        <f t="shared" si="7"/>
        <v>0</v>
      </c>
      <c r="S70" s="8">
        <f t="shared" si="8"/>
        <v>0</v>
      </c>
      <c r="T70" s="8">
        <f t="shared" si="9"/>
        <v>384930</v>
      </c>
      <c r="U70" s="8">
        <f t="shared" si="10"/>
        <v>0</v>
      </c>
      <c r="Z70"/>
    </row>
    <row r="71" spans="1:26" s="100" customFormat="1" ht="12.75" customHeight="1" x14ac:dyDescent="0.25">
      <c r="A71" s="7"/>
      <c r="C71" s="115" t="s">
        <v>94</v>
      </c>
      <c r="D71" s="109" t="s">
        <v>4</v>
      </c>
      <c r="E71" s="109" t="s">
        <v>1</v>
      </c>
      <c r="F71" s="110" t="s">
        <v>219</v>
      </c>
      <c r="G71" s="3"/>
      <c r="H71" s="111">
        <v>122.2</v>
      </c>
      <c r="I71" s="12" t="s">
        <v>41</v>
      </c>
      <c r="J71" s="3"/>
      <c r="K71" s="112"/>
      <c r="L71" s="112"/>
      <c r="M71" s="112"/>
      <c r="N71" s="112">
        <v>1890</v>
      </c>
      <c r="O71" s="112"/>
      <c r="P71" s="3"/>
      <c r="Q71" s="8">
        <f t="shared" si="6"/>
        <v>0</v>
      </c>
      <c r="R71" s="8">
        <f t="shared" si="7"/>
        <v>0</v>
      </c>
      <c r="S71" s="8">
        <f t="shared" si="8"/>
        <v>0</v>
      </c>
      <c r="T71" s="8">
        <f t="shared" si="9"/>
        <v>230958</v>
      </c>
      <c r="U71" s="8">
        <f t="shared" si="10"/>
        <v>0</v>
      </c>
      <c r="Z71"/>
    </row>
    <row r="72" spans="1:26" s="100" customFormat="1" ht="12.75" customHeight="1" x14ac:dyDescent="0.25">
      <c r="A72" s="7"/>
      <c r="C72" s="115" t="s">
        <v>95</v>
      </c>
      <c r="D72" s="109" t="s">
        <v>4</v>
      </c>
      <c r="E72" s="109" t="s">
        <v>1</v>
      </c>
      <c r="F72" s="110" t="s">
        <v>219</v>
      </c>
      <c r="G72" s="3"/>
      <c r="H72" s="111">
        <v>122.2</v>
      </c>
      <c r="I72" s="12" t="s">
        <v>41</v>
      </c>
      <c r="J72" s="3"/>
      <c r="K72" s="112"/>
      <c r="L72" s="112"/>
      <c r="M72" s="112"/>
      <c r="N72" s="112">
        <v>3035.4961832060999</v>
      </c>
      <c r="O72" s="112"/>
      <c r="P72" s="3"/>
      <c r="Q72" s="8">
        <f t="shared" si="6"/>
        <v>0</v>
      </c>
      <c r="R72" s="8">
        <f t="shared" si="7"/>
        <v>0</v>
      </c>
      <c r="S72" s="8">
        <f t="shared" si="8"/>
        <v>0</v>
      </c>
      <c r="T72" s="8">
        <f t="shared" si="9"/>
        <v>370937.63358778541</v>
      </c>
      <c r="U72" s="8">
        <f t="shared" si="10"/>
        <v>0</v>
      </c>
      <c r="Z72"/>
    </row>
    <row r="73" spans="1:26" s="100" customFormat="1" ht="12.75" customHeight="1" x14ac:dyDescent="0.25">
      <c r="A73" s="7"/>
      <c r="C73" s="108"/>
      <c r="D73" s="109"/>
      <c r="E73" s="109"/>
      <c r="F73" s="110"/>
      <c r="G73" s="3"/>
      <c r="H73" s="111"/>
      <c r="I73" s="12"/>
      <c r="J73" s="3"/>
      <c r="K73" s="112"/>
      <c r="L73" s="112"/>
      <c r="M73" s="112"/>
      <c r="N73" s="112"/>
      <c r="O73" s="112"/>
      <c r="P73" s="3"/>
      <c r="Q73" s="8"/>
      <c r="R73" s="8"/>
      <c r="S73" s="8"/>
      <c r="T73" s="8"/>
      <c r="U73" s="8"/>
      <c r="Z73"/>
    </row>
    <row r="74" spans="1:26" s="100" customFormat="1" ht="12.75" customHeight="1" x14ac:dyDescent="0.25">
      <c r="A74" s="7"/>
      <c r="C74" s="108"/>
      <c r="D74" s="109"/>
      <c r="E74" s="109"/>
      <c r="F74" s="110"/>
      <c r="G74" s="3"/>
      <c r="H74" s="111"/>
      <c r="I74" s="12"/>
      <c r="J74" s="3"/>
      <c r="K74" s="112"/>
      <c r="L74" s="112"/>
      <c r="M74" s="112"/>
      <c r="N74" s="112"/>
      <c r="O74" s="112"/>
      <c r="P74" s="3"/>
      <c r="Q74" s="8"/>
      <c r="R74" s="8"/>
      <c r="S74" s="8"/>
      <c r="T74" s="8"/>
      <c r="U74" s="8"/>
      <c r="Z74"/>
    </row>
    <row r="75" spans="1:26" s="100" customFormat="1" ht="12.75" customHeight="1" x14ac:dyDescent="0.25">
      <c r="A75" s="7"/>
      <c r="C75" s="108"/>
      <c r="D75" s="109"/>
      <c r="E75" s="109"/>
      <c r="F75" s="110"/>
      <c r="G75" s="3"/>
      <c r="H75" s="111"/>
      <c r="I75" s="12"/>
      <c r="J75" s="3"/>
      <c r="K75" s="112"/>
      <c r="L75" s="112"/>
      <c r="M75" s="112"/>
      <c r="N75" s="112"/>
      <c r="O75" s="112"/>
      <c r="P75" s="3"/>
      <c r="Q75" s="8"/>
      <c r="R75" s="8"/>
      <c r="S75" s="8"/>
      <c r="T75" s="8"/>
      <c r="U75" s="8"/>
      <c r="Z75"/>
    </row>
    <row r="76" spans="1:26" s="100" customFormat="1" ht="12.75" customHeight="1" x14ac:dyDescent="0.25">
      <c r="A76" s="7"/>
      <c r="C76" s="108"/>
      <c r="D76" s="109"/>
      <c r="E76" s="109"/>
      <c r="F76" s="110"/>
      <c r="G76" s="3"/>
      <c r="H76" s="111"/>
      <c r="I76" s="12"/>
      <c r="J76" s="3"/>
      <c r="K76" s="112"/>
      <c r="L76" s="112"/>
      <c r="M76" s="112"/>
      <c r="N76" s="112"/>
      <c r="O76" s="112"/>
      <c r="P76" s="3"/>
      <c r="Q76" s="8"/>
      <c r="R76" s="8"/>
      <c r="S76" s="8"/>
      <c r="T76" s="8"/>
      <c r="U76" s="8"/>
      <c r="Z76"/>
    </row>
    <row r="77" spans="1:26" s="100" customFormat="1" ht="12.75" customHeight="1" x14ac:dyDescent="0.25">
      <c r="A77" s="7"/>
      <c r="C77" s="108"/>
      <c r="D77" s="109"/>
      <c r="E77" s="109"/>
      <c r="F77" s="110"/>
      <c r="G77" s="3"/>
      <c r="H77" s="111"/>
      <c r="I77" s="12"/>
      <c r="J77" s="3"/>
      <c r="K77" s="112"/>
      <c r="L77" s="112"/>
      <c r="M77" s="112"/>
      <c r="N77" s="112"/>
      <c r="O77" s="112"/>
      <c r="P77" s="3"/>
      <c r="Q77" s="8"/>
      <c r="R77" s="8"/>
      <c r="S77" s="8"/>
      <c r="T77" s="8"/>
      <c r="U77" s="8"/>
      <c r="Z77"/>
    </row>
    <row r="78" spans="1:26" s="100" customFormat="1" ht="12.75" customHeight="1" x14ac:dyDescent="0.25">
      <c r="A78" s="7"/>
      <c r="C78" s="108"/>
      <c r="D78" s="109"/>
      <c r="E78" s="109"/>
      <c r="F78" s="110"/>
      <c r="G78" s="3"/>
      <c r="H78" s="111"/>
      <c r="I78" s="12"/>
      <c r="J78" s="3"/>
      <c r="K78" s="112"/>
      <c r="L78" s="112"/>
      <c r="M78" s="112"/>
      <c r="N78" s="112"/>
      <c r="O78" s="112"/>
      <c r="P78" s="3"/>
      <c r="Q78" s="8"/>
      <c r="R78" s="8"/>
      <c r="S78" s="8"/>
      <c r="T78" s="8"/>
      <c r="U78" s="8"/>
      <c r="Z78"/>
    </row>
    <row r="79" spans="1:26" s="100" customFormat="1" ht="12.75" customHeight="1" x14ac:dyDescent="0.25">
      <c r="A79" s="7"/>
      <c r="C79" s="108"/>
      <c r="D79" s="109"/>
      <c r="E79" s="109"/>
      <c r="F79" s="110"/>
      <c r="G79" s="3"/>
      <c r="H79" s="111"/>
      <c r="I79" s="12"/>
      <c r="J79" s="3"/>
      <c r="K79" s="112"/>
      <c r="L79" s="112"/>
      <c r="M79" s="112"/>
      <c r="N79" s="112"/>
      <c r="O79" s="112"/>
      <c r="P79" s="3"/>
      <c r="Q79" s="8"/>
      <c r="R79" s="8"/>
      <c r="S79" s="8"/>
      <c r="T79" s="8"/>
      <c r="U79" s="8"/>
      <c r="Z79"/>
    </row>
    <row r="80" spans="1:26" s="100" customFormat="1" ht="12.75" customHeight="1" x14ac:dyDescent="0.25">
      <c r="A80" s="7"/>
      <c r="C80" s="108"/>
      <c r="D80" s="109"/>
      <c r="E80" s="109"/>
      <c r="F80" s="110"/>
      <c r="G80" s="3"/>
      <c r="H80" s="111"/>
      <c r="I80" s="12"/>
      <c r="J80" s="3"/>
      <c r="K80" s="112"/>
      <c r="L80" s="112"/>
      <c r="M80" s="112"/>
      <c r="N80" s="112"/>
      <c r="O80" s="112"/>
      <c r="P80" s="3"/>
      <c r="Q80" s="8"/>
      <c r="R80" s="8"/>
      <c r="S80" s="8"/>
      <c r="T80" s="8"/>
      <c r="U80" s="8"/>
      <c r="Z80"/>
    </row>
    <row r="81" spans="1:26" s="100" customFormat="1" ht="12.75" customHeight="1" x14ac:dyDescent="0.25">
      <c r="A81" s="7"/>
      <c r="C81" s="108"/>
      <c r="D81" s="109"/>
      <c r="E81" s="109"/>
      <c r="F81" s="110"/>
      <c r="G81" s="3"/>
      <c r="H81" s="111"/>
      <c r="I81" s="12"/>
      <c r="J81" s="3"/>
      <c r="K81" s="112"/>
      <c r="L81" s="112"/>
      <c r="M81" s="112"/>
      <c r="N81" s="112"/>
      <c r="O81" s="112"/>
      <c r="P81" s="3"/>
      <c r="Q81" s="8"/>
      <c r="R81" s="8"/>
      <c r="S81" s="8"/>
      <c r="T81" s="8"/>
      <c r="U81" s="8"/>
      <c r="Z81"/>
    </row>
    <row r="82" spans="1:26" ht="12.75" customHeight="1" x14ac:dyDescent="0.25">
      <c r="A82" s="7" t="str">
        <f>IF(ISBLANK(B82),"",1+MAX(A$6:A81))</f>
        <v/>
      </c>
      <c r="F82" s="4"/>
      <c r="G82" s="3"/>
      <c r="J82" s="3"/>
      <c r="P82" s="3"/>
      <c r="Z82"/>
    </row>
    <row r="83" spans="1:26" ht="12.75" customHeight="1" x14ac:dyDescent="0.25">
      <c r="A83" s="7"/>
      <c r="F83" s="4"/>
      <c r="G83" s="3"/>
      <c r="J83" s="3"/>
      <c r="P83" s="3"/>
      <c r="Z83"/>
    </row>
    <row r="84" spans="1:26" ht="12.75" customHeight="1" x14ac:dyDescent="0.25">
      <c r="A84" s="7" t="str">
        <f>IF(ISBLANK(B84),"",1+MAX(A$6:A83))</f>
        <v/>
      </c>
      <c r="C84" s="115" t="s">
        <v>85</v>
      </c>
      <c r="D84" s="109" t="s">
        <v>4</v>
      </c>
      <c r="E84" s="109" t="s">
        <v>0</v>
      </c>
      <c r="F84" s="110" t="s">
        <v>219</v>
      </c>
      <c r="G84" s="3"/>
      <c r="H84" s="123">
        <v>35000</v>
      </c>
      <c r="I84" s="12" t="s">
        <v>42</v>
      </c>
      <c r="J84" s="3"/>
      <c r="K84" s="112">
        <v>1</v>
      </c>
      <c r="L84" s="112"/>
      <c r="M84" s="112"/>
      <c r="N84" s="112"/>
      <c r="O84" s="112"/>
      <c r="P84" s="3"/>
      <c r="Q84" s="8">
        <f t="shared" ref="Q84:U84" si="11">K84*$H84</f>
        <v>35000</v>
      </c>
      <c r="R84" s="8">
        <f t="shared" si="11"/>
        <v>0</v>
      </c>
      <c r="S84" s="8">
        <f t="shared" si="11"/>
        <v>0</v>
      </c>
      <c r="T84" s="8">
        <f t="shared" si="11"/>
        <v>0</v>
      </c>
      <c r="U84" s="8">
        <f t="shared" si="11"/>
        <v>0</v>
      </c>
      <c r="Z84"/>
    </row>
    <row r="85" spans="1:26" s="100" customFormat="1" ht="12.75" customHeight="1" x14ac:dyDescent="0.25">
      <c r="A85" s="7"/>
      <c r="C85" s="115" t="s">
        <v>86</v>
      </c>
      <c r="D85" s="109" t="s">
        <v>4</v>
      </c>
      <c r="E85" s="109" t="s">
        <v>0</v>
      </c>
      <c r="F85" s="110" t="s">
        <v>219</v>
      </c>
      <c r="G85" s="3"/>
      <c r="H85" s="123">
        <v>21000</v>
      </c>
      <c r="I85" s="12" t="s">
        <v>42</v>
      </c>
      <c r="J85" s="3"/>
      <c r="K85" s="112">
        <v>1</v>
      </c>
      <c r="L85" s="112"/>
      <c r="M85" s="112"/>
      <c r="N85" s="112"/>
      <c r="O85" s="112"/>
      <c r="P85" s="3"/>
      <c r="Q85" s="8">
        <f t="shared" ref="Q85:Q88" si="12">K85*$H85</f>
        <v>21000</v>
      </c>
      <c r="R85" s="8">
        <f t="shared" ref="R85:R88" si="13">L85*$H85</f>
        <v>0</v>
      </c>
      <c r="S85" s="8">
        <f t="shared" ref="S85:S88" si="14">M85*$H85</f>
        <v>0</v>
      </c>
      <c r="T85" s="8">
        <f t="shared" ref="T85:T88" si="15">N85*$H85</f>
        <v>0</v>
      </c>
      <c r="U85" s="8">
        <f t="shared" ref="U85:U88" si="16">O85*$H85</f>
        <v>0</v>
      </c>
      <c r="Z85"/>
    </row>
    <row r="86" spans="1:26" s="100" customFormat="1" ht="12.75" customHeight="1" x14ac:dyDescent="0.25">
      <c r="A86" s="7"/>
      <c r="C86" s="115" t="s">
        <v>87</v>
      </c>
      <c r="D86" s="109" t="s">
        <v>4</v>
      </c>
      <c r="E86" s="109" t="s">
        <v>0</v>
      </c>
      <c r="F86" s="110" t="s">
        <v>219</v>
      </c>
      <c r="G86" s="3"/>
      <c r="H86" s="123">
        <v>17500</v>
      </c>
      <c r="I86" s="12" t="s">
        <v>42</v>
      </c>
      <c r="J86" s="3"/>
      <c r="K86" s="112"/>
      <c r="L86" s="112"/>
      <c r="M86" s="112"/>
      <c r="N86" s="112">
        <v>1</v>
      </c>
      <c r="O86" s="112"/>
      <c r="P86" s="3"/>
      <c r="Q86" s="8">
        <f t="shared" si="12"/>
        <v>0</v>
      </c>
      <c r="R86" s="8">
        <f t="shared" si="13"/>
        <v>0</v>
      </c>
      <c r="S86" s="8">
        <f t="shared" si="14"/>
        <v>0</v>
      </c>
      <c r="T86" s="8">
        <f t="shared" si="15"/>
        <v>17500</v>
      </c>
      <c r="U86" s="8">
        <f t="shared" si="16"/>
        <v>0</v>
      </c>
      <c r="Z86"/>
    </row>
    <row r="87" spans="1:26" s="100" customFormat="1" ht="12.75" customHeight="1" x14ac:dyDescent="0.25">
      <c r="A87" s="7"/>
      <c r="C87" s="115" t="s">
        <v>88</v>
      </c>
      <c r="D87" s="109" t="s">
        <v>4</v>
      </c>
      <c r="E87" s="109" t="s">
        <v>0</v>
      </c>
      <c r="F87" s="110" t="s">
        <v>219</v>
      </c>
      <c r="G87" s="3"/>
      <c r="H87" s="123">
        <v>35000</v>
      </c>
      <c r="I87" s="12" t="s">
        <v>42</v>
      </c>
      <c r="J87" s="3"/>
      <c r="K87" s="112">
        <v>1</v>
      </c>
      <c r="L87" s="112"/>
      <c r="M87" s="112"/>
      <c r="N87" s="112"/>
      <c r="O87" s="112"/>
      <c r="P87" s="3"/>
      <c r="Q87" s="8">
        <f t="shared" si="12"/>
        <v>35000</v>
      </c>
      <c r="R87" s="8">
        <f t="shared" si="13"/>
        <v>0</v>
      </c>
      <c r="S87" s="8">
        <f t="shared" si="14"/>
        <v>0</v>
      </c>
      <c r="T87" s="8">
        <f t="shared" si="15"/>
        <v>0</v>
      </c>
      <c r="U87" s="8">
        <f t="shared" si="16"/>
        <v>0</v>
      </c>
      <c r="Z87"/>
    </row>
    <row r="88" spans="1:26" s="100" customFormat="1" ht="12.75" customHeight="1" x14ac:dyDescent="0.25">
      <c r="A88" s="7"/>
      <c r="C88" s="115" t="s">
        <v>89</v>
      </c>
      <c r="D88" s="109" t="s">
        <v>4</v>
      </c>
      <c r="E88" s="109" t="s">
        <v>0</v>
      </c>
      <c r="F88" s="110" t="s">
        <v>219</v>
      </c>
      <c r="G88" s="3"/>
      <c r="H88" s="123">
        <v>70000</v>
      </c>
      <c r="I88" s="12" t="s">
        <v>42</v>
      </c>
      <c r="J88" s="3"/>
      <c r="K88" s="112">
        <v>1</v>
      </c>
      <c r="L88" s="112"/>
      <c r="M88" s="112"/>
      <c r="N88" s="112"/>
      <c r="O88" s="112"/>
      <c r="P88" s="3"/>
      <c r="Q88" s="8">
        <f t="shared" si="12"/>
        <v>70000</v>
      </c>
      <c r="R88" s="8">
        <f t="shared" si="13"/>
        <v>0</v>
      </c>
      <c r="S88" s="8">
        <f t="shared" si="14"/>
        <v>0</v>
      </c>
      <c r="T88" s="8">
        <f t="shared" si="15"/>
        <v>0</v>
      </c>
      <c r="U88" s="8">
        <f t="shared" si="16"/>
        <v>0</v>
      </c>
      <c r="Z88"/>
    </row>
    <row r="89" spans="1:26" s="100" customFormat="1" ht="12.75" customHeight="1" x14ac:dyDescent="0.25">
      <c r="A89" s="7"/>
      <c r="C89" s="115" t="s">
        <v>208</v>
      </c>
      <c r="D89" s="109" t="s">
        <v>4</v>
      </c>
      <c r="E89" s="109" t="s">
        <v>0</v>
      </c>
      <c r="F89" s="110" t="s">
        <v>219</v>
      </c>
      <c r="G89" s="3"/>
      <c r="H89" s="123">
        <v>70000</v>
      </c>
      <c r="I89" s="12" t="s">
        <v>42</v>
      </c>
      <c r="J89" s="3"/>
      <c r="K89" s="112"/>
      <c r="L89" s="112"/>
      <c r="M89" s="112">
        <v>1</v>
      </c>
      <c r="N89" s="112"/>
      <c r="O89" s="112"/>
      <c r="P89" s="3"/>
      <c r="Q89" s="8">
        <f t="shared" ref="Q89:Q91" si="17">K89*$H89</f>
        <v>0</v>
      </c>
      <c r="R89" s="8">
        <f t="shared" ref="R89:R91" si="18">L89*$H89</f>
        <v>0</v>
      </c>
      <c r="S89" s="8">
        <f t="shared" ref="S89:S91" si="19">M89*$H89</f>
        <v>70000</v>
      </c>
      <c r="T89" s="8">
        <f t="shared" ref="T89:T91" si="20">N89*$H89</f>
        <v>0</v>
      </c>
      <c r="U89" s="8">
        <f t="shared" ref="U89:U91" si="21">O89*$H89</f>
        <v>0</v>
      </c>
      <c r="Z89"/>
    </row>
    <row r="90" spans="1:26" s="100" customFormat="1" ht="12.75" customHeight="1" x14ac:dyDescent="0.25">
      <c r="A90" s="7"/>
      <c r="C90" s="115" t="s">
        <v>209</v>
      </c>
      <c r="D90" s="109" t="s">
        <v>4</v>
      </c>
      <c r="E90" s="109" t="s">
        <v>0</v>
      </c>
      <c r="F90" s="110" t="s">
        <v>219</v>
      </c>
      <c r="G90" s="3"/>
      <c r="H90" s="123">
        <v>140000</v>
      </c>
      <c r="I90" s="12" t="s">
        <v>42</v>
      </c>
      <c r="J90" s="3"/>
      <c r="K90" s="112"/>
      <c r="L90" s="112"/>
      <c r="M90" s="112">
        <v>1</v>
      </c>
      <c r="N90" s="112"/>
      <c r="O90" s="112"/>
      <c r="P90" s="3"/>
      <c r="Q90" s="8">
        <f t="shared" si="17"/>
        <v>0</v>
      </c>
      <c r="R90" s="8">
        <f t="shared" si="18"/>
        <v>0</v>
      </c>
      <c r="S90" s="8">
        <f t="shared" si="19"/>
        <v>140000</v>
      </c>
      <c r="T90" s="8">
        <f t="shared" si="20"/>
        <v>0</v>
      </c>
      <c r="U90" s="8">
        <f t="shared" si="21"/>
        <v>0</v>
      </c>
      <c r="Z90"/>
    </row>
    <row r="91" spans="1:26" s="100" customFormat="1" ht="12.75" customHeight="1" x14ac:dyDescent="0.25">
      <c r="A91" s="7"/>
      <c r="C91" s="115" t="s">
        <v>96</v>
      </c>
      <c r="D91" s="109" t="s">
        <v>4</v>
      </c>
      <c r="E91" s="109" t="s">
        <v>0</v>
      </c>
      <c r="F91" s="110" t="s">
        <v>219</v>
      </c>
      <c r="G91" s="3"/>
      <c r="H91" s="123">
        <v>70000</v>
      </c>
      <c r="I91" s="12" t="s">
        <v>42</v>
      </c>
      <c r="J91" s="3"/>
      <c r="K91" s="112"/>
      <c r="L91" s="112"/>
      <c r="M91" s="112"/>
      <c r="N91" s="112">
        <v>1</v>
      </c>
      <c r="O91" s="112"/>
      <c r="P91" s="3"/>
      <c r="Q91" s="8">
        <f t="shared" si="17"/>
        <v>0</v>
      </c>
      <c r="R91" s="8">
        <f t="shared" si="18"/>
        <v>0</v>
      </c>
      <c r="S91" s="8">
        <f t="shared" si="19"/>
        <v>0</v>
      </c>
      <c r="T91" s="8">
        <f t="shared" si="20"/>
        <v>70000</v>
      </c>
      <c r="U91" s="8">
        <f t="shared" si="21"/>
        <v>0</v>
      </c>
      <c r="Z91"/>
    </row>
    <row r="92" spans="1:26" s="100" customFormat="1" ht="12.75" customHeight="1" x14ac:dyDescent="0.25">
      <c r="A92" s="7"/>
      <c r="C92" s="108"/>
      <c r="D92" s="109"/>
      <c r="E92" s="109"/>
      <c r="F92" s="110"/>
      <c r="G92" s="3"/>
      <c r="H92" s="123"/>
      <c r="I92" s="12"/>
      <c r="J92" s="3"/>
      <c r="K92" s="112"/>
      <c r="L92" s="112"/>
      <c r="M92" s="112"/>
      <c r="N92" s="112"/>
      <c r="O92" s="112"/>
      <c r="P92" s="3"/>
      <c r="Q92" s="8"/>
      <c r="R92" s="8"/>
      <c r="S92" s="8"/>
      <c r="T92" s="8"/>
      <c r="U92" s="8"/>
      <c r="Z92"/>
    </row>
    <row r="93" spans="1:26" s="100" customFormat="1" ht="12.75" customHeight="1" x14ac:dyDescent="0.25">
      <c r="A93" s="7"/>
      <c r="C93" s="108"/>
      <c r="D93" s="109"/>
      <c r="E93" s="109"/>
      <c r="F93" s="110"/>
      <c r="G93" s="3"/>
      <c r="H93" s="123"/>
      <c r="I93" s="12"/>
      <c r="J93" s="3"/>
      <c r="K93" s="112"/>
      <c r="L93" s="112"/>
      <c r="M93" s="112"/>
      <c r="N93" s="112"/>
      <c r="O93" s="112"/>
      <c r="P93" s="3"/>
      <c r="Q93" s="8"/>
      <c r="R93" s="8"/>
      <c r="S93" s="8"/>
      <c r="T93" s="8"/>
      <c r="U93" s="8"/>
      <c r="Z93"/>
    </row>
    <row r="94" spans="1:26" ht="12.7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Z94"/>
    </row>
    <row r="95" spans="1:26" ht="12.7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Z95"/>
    </row>
    <row r="96" spans="1:26" ht="12.75" customHeight="1" x14ac:dyDescent="0.2">
      <c r="A96" s="7" t="str">
        <f>IF(ISBLANK(B96),"",1+MAX(A$6:A95))</f>
        <v/>
      </c>
      <c r="C96" s="108"/>
      <c r="D96" s="109"/>
      <c r="E96" s="109"/>
      <c r="F96" s="110"/>
      <c r="H96" s="6"/>
      <c r="I96" s="13" t="s">
        <v>43</v>
      </c>
      <c r="K96" s="113"/>
      <c r="L96" s="114"/>
      <c r="M96" s="113"/>
      <c r="N96" s="114"/>
      <c r="O96" s="113"/>
      <c r="Q96" s="8">
        <f t="shared" ref="Q96:U99" si="22">K96</f>
        <v>0</v>
      </c>
      <c r="R96" s="8">
        <f t="shared" si="22"/>
        <v>0</v>
      </c>
      <c r="S96" s="8">
        <f t="shared" si="22"/>
        <v>0</v>
      </c>
      <c r="T96" s="8">
        <f t="shared" si="22"/>
        <v>0</v>
      </c>
      <c r="U96" s="8">
        <f t="shared" si="22"/>
        <v>0</v>
      </c>
    </row>
    <row r="97" spans="1:26" s="100" customFormat="1" ht="12.75" customHeight="1" x14ac:dyDescent="0.2">
      <c r="A97" s="7"/>
      <c r="C97" s="108"/>
      <c r="D97" s="109"/>
      <c r="E97" s="109"/>
      <c r="F97" s="110"/>
      <c r="H97" s="6"/>
      <c r="I97" s="13" t="s">
        <v>43</v>
      </c>
      <c r="K97" s="113"/>
      <c r="L97" s="114"/>
      <c r="M97" s="113"/>
      <c r="N97" s="114"/>
      <c r="O97" s="113"/>
      <c r="Q97" s="8"/>
      <c r="R97" s="8"/>
      <c r="S97" s="8"/>
      <c r="T97" s="8"/>
      <c r="U97" s="8"/>
    </row>
    <row r="98" spans="1:26" s="100" customFormat="1" ht="12.75" customHeight="1" x14ac:dyDescent="0.2">
      <c r="A98" s="7"/>
      <c r="C98" s="108"/>
      <c r="D98" s="109"/>
      <c r="E98" s="109"/>
      <c r="F98" s="110"/>
      <c r="H98" s="6"/>
      <c r="I98" s="13" t="s">
        <v>43</v>
      </c>
      <c r="K98" s="113"/>
      <c r="L98" s="114"/>
      <c r="M98" s="113"/>
      <c r="N98" s="114"/>
      <c r="O98" s="113"/>
      <c r="Q98" s="8"/>
      <c r="R98" s="8"/>
      <c r="S98" s="8"/>
      <c r="T98" s="8"/>
      <c r="U98" s="8"/>
    </row>
    <row r="99" spans="1:26" ht="12.75" customHeight="1" x14ac:dyDescent="0.2">
      <c r="A99" s="7"/>
      <c r="C99" s="108"/>
      <c r="D99" s="109"/>
      <c r="E99" s="109"/>
      <c r="F99" s="110"/>
      <c r="H99" s="6"/>
      <c r="I99" s="13" t="s">
        <v>43</v>
      </c>
      <c r="K99" s="113"/>
      <c r="L99" s="114"/>
      <c r="M99" s="113"/>
      <c r="N99" s="114"/>
      <c r="O99" s="113"/>
      <c r="Q99" s="8">
        <f t="shared" si="22"/>
        <v>0</v>
      </c>
      <c r="R99" s="8">
        <f t="shared" si="22"/>
        <v>0</v>
      </c>
      <c r="S99" s="8">
        <f t="shared" si="22"/>
        <v>0</v>
      </c>
      <c r="T99" s="8">
        <f t="shared" si="22"/>
        <v>0</v>
      </c>
      <c r="U99" s="8">
        <f t="shared" si="22"/>
        <v>0</v>
      </c>
    </row>
    <row r="100" spans="1:26" ht="12.75" customHeight="1" x14ac:dyDescent="0.2">
      <c r="A100" s="7"/>
      <c r="B100" s="100"/>
      <c r="C100" s="108"/>
      <c r="D100" s="109"/>
      <c r="E100" s="109"/>
      <c r="F100" s="110"/>
      <c r="G100" s="100"/>
      <c r="H100" s="6"/>
      <c r="I100" s="13" t="s">
        <v>43</v>
      </c>
      <c r="J100" s="100"/>
      <c r="K100" s="113"/>
      <c r="L100" s="114"/>
      <c r="M100" s="113"/>
      <c r="N100" s="114"/>
      <c r="O100" s="113"/>
      <c r="P100" s="100"/>
      <c r="Q100" s="8">
        <f t="shared" ref="Q100" si="23">K100</f>
        <v>0</v>
      </c>
      <c r="R100" s="8">
        <f t="shared" ref="R100" si="24">L100</f>
        <v>0</v>
      </c>
      <c r="S100" s="8">
        <f t="shared" ref="S100" si="25">M100</f>
        <v>0</v>
      </c>
      <c r="T100" s="8">
        <f t="shared" ref="T100" si="26">N100</f>
        <v>0</v>
      </c>
      <c r="U100" s="8">
        <f t="shared" ref="U100" si="27">O100</f>
        <v>0</v>
      </c>
    </row>
    <row r="101" spans="1:26" ht="12.75" customHeight="1" x14ac:dyDescent="0.25">
      <c r="G101" s="100"/>
      <c r="J101" s="100"/>
      <c r="P101" s="100"/>
      <c r="Z101"/>
    </row>
    <row r="102" spans="1:26" ht="12.75" customHeight="1" x14ac:dyDescent="0.25">
      <c r="G102" s="100"/>
      <c r="J102" s="100"/>
      <c r="P102" s="100"/>
      <c r="Z102"/>
    </row>
    <row r="103" spans="1:26" ht="12.75" customHeight="1" x14ac:dyDescent="0.25">
      <c r="C103" s="5" t="s">
        <v>12</v>
      </c>
      <c r="G103" s="100"/>
      <c r="J103" s="100"/>
      <c r="P103" s="100"/>
      <c r="Z103"/>
    </row>
    <row r="104" spans="1:26" ht="12.75" customHeight="1" x14ac:dyDescent="0.2">
      <c r="C104" s="28" t="s">
        <v>1</v>
      </c>
      <c r="D104" s="28" t="s">
        <v>4</v>
      </c>
      <c r="E104" s="28"/>
      <c r="F104" s="4"/>
      <c r="G104" s="100"/>
      <c r="H104" s="28"/>
      <c r="I104" s="29"/>
      <c r="J104" s="100"/>
      <c r="K104" s="28"/>
      <c r="L104" s="28"/>
      <c r="M104" s="28"/>
      <c r="N104" s="28"/>
      <c r="O104" s="28"/>
      <c r="P104" s="100"/>
      <c r="Q104" s="30">
        <f t="shared" ref="Q104:U109" si="28">SUMIFS(Q$10:Q$99,$E$10:$E$99,$C104,$D$10:$D$99,$D104)</f>
        <v>1812627.1145038167</v>
      </c>
      <c r="R104" s="30">
        <f t="shared" si="28"/>
        <v>1455402</v>
      </c>
      <c r="S104" s="30">
        <f t="shared" si="28"/>
        <v>4427306</v>
      </c>
      <c r="T104" s="30">
        <f t="shared" si="28"/>
        <v>2299840.1935877856</v>
      </c>
      <c r="U104" s="30">
        <f t="shared" si="28"/>
        <v>461916</v>
      </c>
    </row>
    <row r="105" spans="1:26" ht="12.75" customHeight="1" x14ac:dyDescent="0.2">
      <c r="C105" s="4" t="s">
        <v>0</v>
      </c>
      <c r="D105" s="4" t="s">
        <v>4</v>
      </c>
      <c r="E105" s="4"/>
      <c r="F105" s="4"/>
      <c r="G105" s="100"/>
      <c r="H105" s="4"/>
      <c r="I105" s="13"/>
      <c r="J105" s="100"/>
      <c r="K105" s="4"/>
      <c r="L105" s="4"/>
      <c r="M105" s="4"/>
      <c r="N105" s="4"/>
      <c r="O105" s="4"/>
      <c r="P105" s="100"/>
      <c r="Q105" s="9">
        <f t="shared" si="28"/>
        <v>161000</v>
      </c>
      <c r="R105" s="9">
        <f t="shared" si="28"/>
        <v>0</v>
      </c>
      <c r="S105" s="9">
        <f t="shared" si="28"/>
        <v>210000</v>
      </c>
      <c r="T105" s="9">
        <f t="shared" si="28"/>
        <v>87500</v>
      </c>
      <c r="U105" s="9">
        <f t="shared" si="28"/>
        <v>0</v>
      </c>
    </row>
    <row r="106" spans="1:26" ht="12.75" customHeight="1" x14ac:dyDescent="0.2">
      <c r="C106" s="4" t="s">
        <v>3</v>
      </c>
      <c r="D106" s="4" t="s">
        <v>4</v>
      </c>
      <c r="E106" s="4"/>
      <c r="F106" s="4"/>
      <c r="G106" s="100"/>
      <c r="H106" s="4"/>
      <c r="I106" s="13"/>
      <c r="J106" s="100"/>
      <c r="K106" s="4"/>
      <c r="L106" s="4"/>
      <c r="M106" s="4"/>
      <c r="N106" s="4"/>
      <c r="O106" s="4"/>
      <c r="P106" s="100"/>
      <c r="Q106" s="9">
        <f t="shared" si="28"/>
        <v>0</v>
      </c>
      <c r="R106" s="9">
        <f t="shared" si="28"/>
        <v>0</v>
      </c>
      <c r="S106" s="9">
        <f t="shared" si="28"/>
        <v>0</v>
      </c>
      <c r="T106" s="9">
        <f t="shared" si="28"/>
        <v>0</v>
      </c>
      <c r="U106" s="9">
        <f t="shared" si="28"/>
        <v>0</v>
      </c>
    </row>
    <row r="107" spans="1:26" ht="12.75" customHeight="1" x14ac:dyDescent="0.2">
      <c r="C107" s="4" t="s">
        <v>1</v>
      </c>
      <c r="D107" s="4" t="s">
        <v>40</v>
      </c>
      <c r="E107" s="4"/>
      <c r="F107" s="4"/>
      <c r="G107" s="100"/>
      <c r="H107" s="4"/>
      <c r="I107" s="13"/>
      <c r="J107" s="100"/>
      <c r="K107" s="4"/>
      <c r="L107" s="4"/>
      <c r="M107" s="4"/>
      <c r="N107" s="4"/>
      <c r="O107" s="4"/>
      <c r="P107" s="100"/>
      <c r="Q107" s="9">
        <f t="shared" si="28"/>
        <v>0</v>
      </c>
      <c r="R107" s="9">
        <f t="shared" si="28"/>
        <v>0</v>
      </c>
      <c r="S107" s="9">
        <f t="shared" si="28"/>
        <v>0</v>
      </c>
      <c r="T107" s="9">
        <f t="shared" si="28"/>
        <v>0</v>
      </c>
      <c r="U107" s="9">
        <f t="shared" si="28"/>
        <v>0</v>
      </c>
    </row>
    <row r="108" spans="1:26" ht="12.75" customHeight="1" x14ac:dyDescent="0.2">
      <c r="C108" s="4" t="s">
        <v>0</v>
      </c>
      <c r="D108" s="4" t="s">
        <v>40</v>
      </c>
      <c r="E108" s="4"/>
      <c r="F108" s="4"/>
      <c r="G108" s="100"/>
      <c r="H108" s="4"/>
      <c r="I108" s="13"/>
      <c r="J108" s="100"/>
      <c r="K108" s="4"/>
      <c r="L108" s="4"/>
      <c r="M108" s="4"/>
      <c r="N108" s="4"/>
      <c r="O108" s="4"/>
      <c r="P108" s="100"/>
      <c r="Q108" s="9">
        <f t="shared" si="28"/>
        <v>0</v>
      </c>
      <c r="R108" s="9">
        <f t="shared" si="28"/>
        <v>0</v>
      </c>
      <c r="S108" s="9">
        <f t="shared" si="28"/>
        <v>0</v>
      </c>
      <c r="T108" s="9">
        <f t="shared" si="28"/>
        <v>0</v>
      </c>
      <c r="U108" s="9">
        <f t="shared" si="28"/>
        <v>0</v>
      </c>
    </row>
    <row r="109" spans="1:26" ht="12.75" customHeight="1" x14ac:dyDescent="0.2">
      <c r="C109" s="4" t="s">
        <v>3</v>
      </c>
      <c r="D109" s="4" t="s">
        <v>40</v>
      </c>
      <c r="E109" s="7"/>
      <c r="F109" s="7"/>
      <c r="G109" s="100"/>
      <c r="H109" s="7"/>
      <c r="I109" s="31"/>
      <c r="J109" s="100"/>
      <c r="K109" s="7"/>
      <c r="L109" s="7"/>
      <c r="M109" s="7"/>
      <c r="N109" s="7"/>
      <c r="O109" s="7"/>
      <c r="P109" s="100"/>
      <c r="Q109" s="9">
        <f t="shared" si="28"/>
        <v>0</v>
      </c>
      <c r="R109" s="9">
        <f t="shared" si="28"/>
        <v>0</v>
      </c>
      <c r="S109" s="9">
        <f t="shared" si="28"/>
        <v>0</v>
      </c>
      <c r="T109" s="9">
        <f t="shared" si="28"/>
        <v>0</v>
      </c>
      <c r="U109" s="9">
        <f t="shared" si="28"/>
        <v>0</v>
      </c>
    </row>
    <row r="110" spans="1:26" ht="12.75" customHeight="1" x14ac:dyDescent="0.2">
      <c r="C110" s="10" t="str">
        <f>"Total Expenditure ($ "&amp;Assumptions!$B$8&amp;")"</f>
        <v>Total Expenditure ($ 2018)</v>
      </c>
      <c r="D110" s="10"/>
      <c r="E110" s="10"/>
      <c r="F110" s="7"/>
      <c r="G110" s="100"/>
      <c r="H110" s="10"/>
      <c r="I110" s="14"/>
      <c r="J110" s="100"/>
      <c r="K110" s="10"/>
      <c r="L110" s="10"/>
      <c r="M110" s="10"/>
      <c r="N110" s="10"/>
      <c r="O110" s="10"/>
      <c r="P110" s="100"/>
      <c r="Q110" s="11">
        <f>SUM(Q104:Q109)</f>
        <v>1973627.1145038167</v>
      </c>
      <c r="R110" s="11">
        <f t="shared" ref="R110:U110" si="29">SUM(R104:R109)</f>
        <v>1455402</v>
      </c>
      <c r="S110" s="11">
        <f t="shared" si="29"/>
        <v>4637306</v>
      </c>
      <c r="T110" s="11">
        <f t="shared" si="29"/>
        <v>2387340.1935877856</v>
      </c>
      <c r="U110" s="11">
        <f t="shared" si="29"/>
        <v>461916</v>
      </c>
      <c r="V110" s="44"/>
      <c r="W110" s="100"/>
      <c r="X110" s="100"/>
      <c r="Y110" s="100"/>
    </row>
    <row r="111" spans="1:26" ht="12.75" customHeight="1" x14ac:dyDescent="0.2">
      <c r="C111" s="28" t="str">
        <f>"Total Expenditure ($ "&amp;Assumptions!B17&amp;")"</f>
        <v>Total Expenditure ($ 2020/21)</v>
      </c>
      <c r="D111" s="28"/>
      <c r="E111" s="28"/>
      <c r="F111" s="4"/>
      <c r="G111" s="100"/>
      <c r="H111" s="28"/>
      <c r="I111" s="29"/>
      <c r="J111" s="100"/>
      <c r="K111" s="28"/>
      <c r="L111" s="28"/>
      <c r="M111" s="28"/>
      <c r="N111" s="28"/>
      <c r="O111" s="28"/>
      <c r="P111" s="100"/>
      <c r="Q111" s="45">
        <f>Q110*Assumptions!$B$18</f>
        <v>2090156.3967672526</v>
      </c>
      <c r="R111" s="45">
        <f>R110*Assumptions!$B$18</f>
        <v>1541333.6074543325</v>
      </c>
      <c r="S111" s="45">
        <f>S110*Assumptions!$B$18</f>
        <v>4911107.4368797224</v>
      </c>
      <c r="T111" s="45">
        <f>T110*Assumptions!$B$18</f>
        <v>2528296.4244953534</v>
      </c>
      <c r="U111" s="45">
        <f>U110*Assumptions!$B$18</f>
        <v>489189.00387719373</v>
      </c>
      <c r="V111" s="44"/>
      <c r="W111" s="100"/>
      <c r="X111" s="100"/>
      <c r="Y111" s="100"/>
    </row>
    <row r="112" spans="1:26" x14ac:dyDescent="0.2">
      <c r="C112" s="101" t="s">
        <v>11</v>
      </c>
      <c r="D112" s="101"/>
      <c r="E112" s="101"/>
      <c r="F112" s="101"/>
      <c r="G112" s="100"/>
      <c r="H112" s="101"/>
      <c r="I112" s="101"/>
      <c r="J112" s="100"/>
      <c r="K112" s="101"/>
      <c r="L112" s="101"/>
      <c r="M112" s="101"/>
      <c r="N112" s="101"/>
      <c r="O112" s="101"/>
      <c r="P112" s="100"/>
      <c r="Q112" s="102">
        <f>Q110-SUM(Q96:Q99,Q84:Q93, Q10:Q81)</f>
        <v>0</v>
      </c>
      <c r="R112" s="102">
        <f>R110-SUM(R96:R99,R84:R93, R10:R81)</f>
        <v>0</v>
      </c>
      <c r="S112" s="102">
        <f>S110-SUM(S96:S99,S84:S93, S10:S81)</f>
        <v>0</v>
      </c>
      <c r="T112" s="102">
        <f>T110-SUM(T96:T99,T84:T93, T10:T81)</f>
        <v>0</v>
      </c>
      <c r="U112" s="102">
        <f>U110-SUM(U96:U99,U84:U93, U10:U81)</f>
        <v>0</v>
      </c>
      <c r="V112" s="100"/>
      <c r="W112" s="102">
        <f>SUM(Q112:U112)</f>
        <v>0</v>
      </c>
      <c r="X112" s="100"/>
      <c r="Y112" s="100"/>
    </row>
    <row r="113" spans="3:26" ht="12.75" customHeight="1" x14ac:dyDescent="0.2">
      <c r="C113" s="100"/>
      <c r="D113" s="100"/>
      <c r="E113" s="100"/>
      <c r="G113" s="100"/>
      <c r="H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</row>
    <row r="114" spans="3:26" s="100" customFormat="1" ht="12.75" customHeight="1" x14ac:dyDescent="0.2">
      <c r="I114" s="12"/>
    </row>
    <row r="115" spans="3:26" s="100" customFormat="1" ht="12.75" customHeight="1" x14ac:dyDescent="0.25">
      <c r="C115" s="5" t="s">
        <v>12</v>
      </c>
      <c r="G115" s="3"/>
      <c r="I115" s="12"/>
      <c r="J115" s="3"/>
      <c r="P115" s="3"/>
      <c r="Z115"/>
    </row>
    <row r="116" spans="3:26" s="100" customFormat="1" ht="12.75" customHeight="1" x14ac:dyDescent="0.2">
      <c r="C116" s="28" t="s">
        <v>1</v>
      </c>
      <c r="D116" s="28" t="s">
        <v>4</v>
      </c>
      <c r="E116" s="28"/>
      <c r="F116" s="28" t="s">
        <v>220</v>
      </c>
      <c r="G116" s="3"/>
      <c r="H116" s="172" t="str">
        <f>C116&amp;F116</f>
        <v>LabourRecurrent</v>
      </c>
      <c r="I116" s="29"/>
      <c r="J116" s="3"/>
      <c r="K116" s="28"/>
      <c r="L116" s="28"/>
      <c r="M116" s="28"/>
      <c r="N116" s="28"/>
      <c r="O116" s="28"/>
      <c r="P116" s="3"/>
      <c r="Q116" s="169">
        <f t="shared" ref="Q116:U121" si="30">SUMIFS(Q$10:Q$100,$E$10:$E$100,$C116,$D$10:$D$100,$D116,$F$10:$F$100,$F116)*Conv_2021</f>
        <v>489189.00387719373</v>
      </c>
      <c r="R116" s="169">
        <f t="shared" si="30"/>
        <v>1120087.5207823047</v>
      </c>
      <c r="S116" s="169">
        <f t="shared" si="30"/>
        <v>2661421.1282366375</v>
      </c>
      <c r="T116" s="169">
        <f t="shared" si="30"/>
        <v>490159.61698012467</v>
      </c>
      <c r="U116" s="169">
        <f t="shared" si="30"/>
        <v>489189.00387719373</v>
      </c>
    </row>
    <row r="117" spans="3:26" s="100" customFormat="1" ht="12.75" customHeight="1" x14ac:dyDescent="0.2">
      <c r="C117" s="4" t="s">
        <v>0</v>
      </c>
      <c r="D117" s="4" t="s">
        <v>4</v>
      </c>
      <c r="E117" s="4"/>
      <c r="F117" s="4" t="s">
        <v>220</v>
      </c>
      <c r="G117" s="3"/>
      <c r="H117" s="171" t="str">
        <f t="shared" ref="H117:H121" si="31">C117&amp;F117</f>
        <v>MaterialsRecurrent</v>
      </c>
      <c r="I117" s="13"/>
      <c r="J117" s="3"/>
      <c r="K117" s="4"/>
      <c r="L117" s="4"/>
      <c r="M117" s="4"/>
      <c r="N117" s="4"/>
      <c r="O117" s="4"/>
      <c r="P117" s="3"/>
      <c r="Q117" s="9">
        <f t="shared" si="30"/>
        <v>0</v>
      </c>
      <c r="R117" s="9">
        <f t="shared" si="30"/>
        <v>0</v>
      </c>
      <c r="S117" s="9">
        <f t="shared" si="30"/>
        <v>0</v>
      </c>
      <c r="T117" s="9">
        <f t="shared" si="30"/>
        <v>0</v>
      </c>
      <c r="U117" s="9">
        <f t="shared" si="30"/>
        <v>0</v>
      </c>
    </row>
    <row r="118" spans="3:26" s="100" customFormat="1" ht="12.75" customHeight="1" x14ac:dyDescent="0.2">
      <c r="C118" s="4" t="s">
        <v>3</v>
      </c>
      <c r="D118" s="4" t="s">
        <v>4</v>
      </c>
      <c r="E118" s="4"/>
      <c r="F118" s="4" t="s">
        <v>220</v>
      </c>
      <c r="G118" s="3"/>
      <c r="H118" s="171" t="str">
        <f t="shared" si="31"/>
        <v>ContractsRecurrent</v>
      </c>
      <c r="I118" s="13"/>
      <c r="J118" s="3"/>
      <c r="K118" s="4"/>
      <c r="L118" s="4"/>
      <c r="M118" s="4"/>
      <c r="N118" s="4"/>
      <c r="O118" s="4"/>
      <c r="P118" s="3"/>
      <c r="Q118" s="9">
        <f t="shared" si="30"/>
        <v>0</v>
      </c>
      <c r="R118" s="9">
        <f t="shared" si="30"/>
        <v>0</v>
      </c>
      <c r="S118" s="9">
        <f t="shared" si="30"/>
        <v>0</v>
      </c>
      <c r="T118" s="9">
        <f t="shared" si="30"/>
        <v>0</v>
      </c>
      <c r="U118" s="9">
        <f t="shared" si="30"/>
        <v>0</v>
      </c>
    </row>
    <row r="119" spans="3:26" s="100" customFormat="1" ht="12.75" customHeight="1" x14ac:dyDescent="0.2">
      <c r="C119" s="4" t="s">
        <v>1</v>
      </c>
      <c r="D119" s="4" t="s">
        <v>4</v>
      </c>
      <c r="E119" s="4"/>
      <c r="F119" s="4" t="s">
        <v>219</v>
      </c>
      <c r="G119" s="3"/>
      <c r="H119" s="171" t="str">
        <f t="shared" si="31"/>
        <v>LabourNon Recurrent</v>
      </c>
      <c r="I119" s="13"/>
      <c r="J119" s="3"/>
      <c r="K119" s="4"/>
      <c r="L119" s="4"/>
      <c r="M119" s="4"/>
      <c r="N119" s="4"/>
      <c r="O119" s="4"/>
      <c r="P119" s="3"/>
      <c r="Q119" s="9">
        <f t="shared" si="30"/>
        <v>1430461.4359103739</v>
      </c>
      <c r="R119" s="9">
        <f t="shared" si="30"/>
        <v>421246.08667202794</v>
      </c>
      <c r="S119" s="9">
        <f t="shared" si="30"/>
        <v>2027287.2343217565</v>
      </c>
      <c r="T119" s="9">
        <f t="shared" si="30"/>
        <v>1945470.5265480087</v>
      </c>
      <c r="U119" s="9">
        <f t="shared" si="30"/>
        <v>0</v>
      </c>
    </row>
    <row r="120" spans="3:26" s="100" customFormat="1" ht="12.75" customHeight="1" x14ac:dyDescent="0.2">
      <c r="C120" s="4" t="s">
        <v>0</v>
      </c>
      <c r="D120" s="4" t="s">
        <v>4</v>
      </c>
      <c r="E120" s="4"/>
      <c r="F120" s="4" t="s">
        <v>219</v>
      </c>
      <c r="G120" s="3"/>
      <c r="H120" s="171" t="str">
        <f t="shared" si="31"/>
        <v>MaterialsNon Recurrent</v>
      </c>
      <c r="I120" s="13"/>
      <c r="J120" s="3"/>
      <c r="K120" s="4"/>
      <c r="L120" s="4"/>
      <c r="M120" s="4"/>
      <c r="N120" s="4"/>
      <c r="O120" s="4"/>
      <c r="P120" s="3"/>
      <c r="Q120" s="9">
        <f t="shared" si="30"/>
        <v>170505.95697968503</v>
      </c>
      <c r="R120" s="9">
        <f t="shared" si="30"/>
        <v>0</v>
      </c>
      <c r="S120" s="9">
        <f t="shared" si="30"/>
        <v>222399.07432132828</v>
      </c>
      <c r="T120" s="9">
        <f t="shared" si="30"/>
        <v>92666.280967220126</v>
      </c>
      <c r="U120" s="9">
        <f t="shared" si="30"/>
        <v>0</v>
      </c>
    </row>
    <row r="121" spans="3:26" s="100" customFormat="1" ht="12.75" customHeight="1" x14ac:dyDescent="0.2">
      <c r="C121" s="4" t="s">
        <v>3</v>
      </c>
      <c r="D121" s="4" t="s">
        <v>4</v>
      </c>
      <c r="E121" s="7"/>
      <c r="F121" s="4" t="s">
        <v>219</v>
      </c>
      <c r="G121" s="3"/>
      <c r="H121" s="171" t="str">
        <f t="shared" si="31"/>
        <v>ContractsNon Recurrent</v>
      </c>
      <c r="I121" s="31"/>
      <c r="J121" s="3"/>
      <c r="K121" s="7"/>
      <c r="L121" s="7"/>
      <c r="M121" s="7"/>
      <c r="N121" s="7"/>
      <c r="O121" s="7"/>
      <c r="P121" s="3"/>
      <c r="Q121" s="9">
        <f t="shared" si="30"/>
        <v>0</v>
      </c>
      <c r="R121" s="9">
        <f t="shared" si="30"/>
        <v>0</v>
      </c>
      <c r="S121" s="9">
        <f t="shared" si="30"/>
        <v>0</v>
      </c>
      <c r="T121" s="9">
        <f t="shared" si="30"/>
        <v>0</v>
      </c>
      <c r="U121" s="9">
        <f t="shared" si="30"/>
        <v>0</v>
      </c>
    </row>
    <row r="122" spans="3:26" s="100" customFormat="1" ht="12.75" customHeight="1" x14ac:dyDescent="0.2">
      <c r="C122" s="10" t="str">
        <f>"Total Expenditure ($ "&amp;Assumptions!B17&amp;")"</f>
        <v>Total Expenditure ($ 2020/21)</v>
      </c>
      <c r="D122" s="10"/>
      <c r="E122" s="10"/>
      <c r="F122" s="10"/>
      <c r="G122" s="3"/>
      <c r="H122" s="10"/>
      <c r="I122" s="14"/>
      <c r="J122" s="3"/>
      <c r="K122" s="10"/>
      <c r="L122" s="10"/>
      <c r="M122" s="10"/>
      <c r="N122" s="10"/>
      <c r="O122" s="10"/>
      <c r="P122" s="3"/>
      <c r="Q122" s="11">
        <f>SUM(Q116:Q121)</f>
        <v>2090156.3967672526</v>
      </c>
      <c r="R122" s="11">
        <f t="shared" ref="R122:U122" si="32">SUM(R116:R121)</f>
        <v>1541333.6074543325</v>
      </c>
      <c r="S122" s="11">
        <f t="shared" si="32"/>
        <v>4911107.4368797224</v>
      </c>
      <c r="T122" s="11">
        <f t="shared" si="32"/>
        <v>2528296.4244953534</v>
      </c>
      <c r="U122" s="11">
        <f t="shared" si="32"/>
        <v>489189.00387719373</v>
      </c>
      <c r="V122" s="44"/>
    </row>
    <row r="123" spans="3:26" s="100" customFormat="1" ht="12.75" customHeight="1" x14ac:dyDescent="0.2">
      <c r="C123" s="101" t="s">
        <v>11</v>
      </c>
      <c r="D123" s="101"/>
      <c r="E123" s="101"/>
      <c r="F123" s="101"/>
      <c r="G123" s="3"/>
      <c r="H123" s="101"/>
      <c r="I123" s="101"/>
      <c r="J123" s="3"/>
      <c r="K123" s="101"/>
      <c r="L123" s="101"/>
      <c r="M123" s="101"/>
      <c r="N123" s="101"/>
      <c r="O123" s="101"/>
      <c r="P123" s="3"/>
      <c r="Q123" s="102">
        <f>Q111-Q122</f>
        <v>0</v>
      </c>
      <c r="R123" s="102">
        <f t="shared" ref="R123:U123" si="33">R111-R122</f>
        <v>0</v>
      </c>
      <c r="S123" s="102">
        <f t="shared" si="33"/>
        <v>0</v>
      </c>
      <c r="T123" s="102">
        <f t="shared" si="33"/>
        <v>0</v>
      </c>
      <c r="U123" s="102">
        <f t="shared" si="33"/>
        <v>0</v>
      </c>
      <c r="W123" s="102">
        <f>SUM(Q123:U123)</f>
        <v>0</v>
      </c>
    </row>
    <row r="124" spans="3:26" s="100" customFormat="1" ht="12.75" customHeight="1" x14ac:dyDescent="0.2">
      <c r="I124" s="12"/>
    </row>
    <row r="125" spans="3:26" ht="12.75" customHeight="1" x14ac:dyDescent="0.2">
      <c r="C125" s="162" t="str">
        <f>"NPV ($ "&amp;Assumptions!$B$17&amp;")"</f>
        <v>NPV ($ 2020/21)</v>
      </c>
      <c r="D125" s="163">
        <f>NPV(Assumptions!$B$6,$Q$122:$U$122)</f>
        <v>10716831.362304211</v>
      </c>
      <c r="E125" s="40"/>
      <c r="F125" s="40"/>
      <c r="G125" s="100"/>
      <c r="H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</row>
    <row r="126" spans="3:26" ht="12.75" customHeight="1" x14ac:dyDescent="0.2">
      <c r="G126" s="100"/>
      <c r="J126" s="100"/>
      <c r="P126" s="100"/>
    </row>
    <row r="127" spans="3:26" ht="12.75" customHeight="1" x14ac:dyDescent="0.2">
      <c r="G127" s="100"/>
      <c r="J127" s="100"/>
      <c r="P127" s="100"/>
      <c r="Q127" s="100"/>
      <c r="R127" s="100"/>
      <c r="S127" s="100"/>
      <c r="T127" s="100"/>
      <c r="U127" s="100"/>
    </row>
    <row r="128" spans="3:26" ht="12.75" customHeight="1" x14ac:dyDescent="0.2">
      <c r="G128" s="100"/>
      <c r="J128" s="100"/>
      <c r="P128" s="100"/>
    </row>
    <row r="129" spans="7:16" ht="12.75" customHeight="1" x14ac:dyDescent="0.2">
      <c r="G129" s="100"/>
      <c r="J129" s="100"/>
      <c r="P129" s="100"/>
    </row>
    <row r="130" spans="7:16" ht="12.75" customHeight="1" x14ac:dyDescent="0.2"/>
  </sheetData>
  <conditionalFormatting sqref="Q112">
    <cfRule type="expression" dxfId="6" priority="7">
      <formula>ABS(Q112)&gt;0.001</formula>
    </cfRule>
  </conditionalFormatting>
  <conditionalFormatting sqref="R112">
    <cfRule type="expression" dxfId="5" priority="6">
      <formula>ABS(R112)&gt;0.001</formula>
    </cfRule>
  </conditionalFormatting>
  <conditionalFormatting sqref="S112">
    <cfRule type="expression" dxfId="4" priority="5">
      <formula>ABS(S112)&gt;0.001</formula>
    </cfRule>
  </conditionalFormatting>
  <conditionalFormatting sqref="U112">
    <cfRule type="expression" dxfId="3" priority="4">
      <formula>ABS(U112)&gt;0.001</formula>
    </cfRule>
  </conditionalFormatting>
  <conditionalFormatting sqref="W112">
    <cfRule type="expression" dxfId="2" priority="3">
      <formula>ABS(W112)&gt;0.001</formula>
    </cfRule>
  </conditionalFormatting>
  <conditionalFormatting sqref="Q123:U123">
    <cfRule type="expression" dxfId="1" priority="2">
      <formula>ABS(Q123)&gt;0.001</formula>
    </cfRule>
  </conditionalFormatting>
  <conditionalFormatting sqref="W123">
    <cfRule type="expression" dxfId="0" priority="1">
      <formula>ABS(W123)&gt;0.001</formula>
    </cfRule>
  </conditionalFormatting>
  <dataValidations count="3">
    <dataValidation type="list" allowBlank="1" showInputMessage="1" showErrorMessage="1" sqref="E84:E93 E10:E81 E96:E100">
      <formula1>"Labour, Materials, Contracts"</formula1>
    </dataValidation>
    <dataValidation type="list" allowBlank="1" showInputMessage="1" showErrorMessage="1" sqref="D96:D100 D10:D81 D84:D93">
      <formula1>"CapEx, OpEx"</formula1>
    </dataValidation>
    <dataValidation type="list" allowBlank="1" showInputMessage="1" showErrorMessage="1" sqref="F10:F81 F84:F93">
      <formula1>"Recurrent, Non Recurrent"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V132"/>
  <sheetViews>
    <sheetView showGridLines="0" zoomScale="90" zoomScaleNormal="90" workbookViewId="0"/>
  </sheetViews>
  <sheetFormatPr defaultColWidth="9.140625" defaultRowHeight="12.75" x14ac:dyDescent="0.2"/>
  <cols>
    <col min="1" max="1" width="4.5703125" style="100" customWidth="1"/>
    <col min="2" max="2" width="2.42578125" style="100" customWidth="1"/>
    <col min="3" max="3" width="78.85546875" style="100" customWidth="1"/>
    <col min="4" max="4" width="9.140625" style="100"/>
    <col min="5" max="6" width="16.5703125" style="100" bestFit="1" customWidth="1"/>
    <col min="7" max="7" width="15.85546875" style="100" customWidth="1"/>
    <col min="8" max="8" width="12.42578125" style="100" bestFit="1" customWidth="1"/>
    <col min="9" max="11" width="15.85546875" style="100" customWidth="1"/>
    <col min="12" max="16" width="10.85546875" style="100" bestFit="1" customWidth="1"/>
    <col min="17" max="17" width="9.140625" style="100"/>
    <col min="18" max="18" width="14" style="100" bestFit="1" customWidth="1"/>
    <col min="19" max="19" width="15" style="100" bestFit="1" customWidth="1"/>
    <col min="20" max="20" width="14" style="100" bestFit="1" customWidth="1"/>
    <col min="21" max="16384" width="9.140625" style="100"/>
  </cols>
  <sheetData>
    <row r="1" spans="1:22" ht="21" x14ac:dyDescent="0.35">
      <c r="A1" s="18" t="str">
        <f>Assumptions!A1</f>
        <v>Customer enablement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22" customFormat="1" ht="15" x14ac:dyDescent="0.25">
      <c r="A3" s="37" t="s">
        <v>170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38"/>
    </row>
    <row r="5" spans="1:22" x14ac:dyDescent="0.2">
      <c r="E5" s="128" t="s">
        <v>212</v>
      </c>
      <c r="F5" s="128" t="s">
        <v>213</v>
      </c>
      <c r="G5" s="128" t="s">
        <v>188</v>
      </c>
      <c r="I5" s="128" t="s">
        <v>172</v>
      </c>
    </row>
    <row r="6" spans="1:22" x14ac:dyDescent="0.2">
      <c r="B6" s="129" t="s">
        <v>173</v>
      </c>
    </row>
    <row r="7" spans="1:22" x14ac:dyDescent="0.2">
      <c r="C7" s="100" t="s">
        <v>174</v>
      </c>
      <c r="D7" s="12" t="s">
        <v>175</v>
      </c>
      <c r="E7" s="112">
        <v>304231</v>
      </c>
      <c r="F7" s="112">
        <v>819837</v>
      </c>
      <c r="G7" s="112">
        <f>SUM(E7:F7)</f>
        <v>1124068</v>
      </c>
    </row>
    <row r="8" spans="1:22" x14ac:dyDescent="0.2">
      <c r="C8" s="100" t="s">
        <v>176</v>
      </c>
      <c r="D8" s="12" t="s">
        <v>175</v>
      </c>
      <c r="E8" s="112">
        <v>59391</v>
      </c>
      <c r="F8" s="112">
        <v>112413</v>
      </c>
      <c r="G8" s="112">
        <f>SUM(E8:F8)</f>
        <v>171804</v>
      </c>
    </row>
    <row r="9" spans="1:22" x14ac:dyDescent="0.2">
      <c r="C9" s="100" t="s">
        <v>177</v>
      </c>
      <c r="D9" s="12" t="s">
        <v>175</v>
      </c>
      <c r="E9" s="130">
        <f t="shared" ref="E9:G9" si="0">SUM(E7:E8)</f>
        <v>363622</v>
      </c>
      <c r="F9" s="130">
        <f t="shared" si="0"/>
        <v>932250</v>
      </c>
      <c r="G9" s="130">
        <f t="shared" si="0"/>
        <v>1295872</v>
      </c>
    </row>
    <row r="11" spans="1:22" x14ac:dyDescent="0.2">
      <c r="B11" s="129" t="s">
        <v>169</v>
      </c>
    </row>
    <row r="12" spans="1:22" x14ac:dyDescent="0.2">
      <c r="C12" s="100" t="s">
        <v>168</v>
      </c>
      <c r="D12" s="12" t="s">
        <v>166</v>
      </c>
      <c r="E12" s="131">
        <v>1190.3</v>
      </c>
      <c r="F12" s="131">
        <v>1190.3</v>
      </c>
      <c r="G12" s="131">
        <v>1190.3</v>
      </c>
      <c r="I12" s="100" t="s">
        <v>223</v>
      </c>
    </row>
    <row r="13" spans="1:22" ht="15" x14ac:dyDescent="0.25">
      <c r="C13" s="100" t="s">
        <v>167</v>
      </c>
      <c r="D13" s="12" t="s">
        <v>166</v>
      </c>
      <c r="E13" s="132">
        <f>E12/(7*16*60)</f>
        <v>0.17712797619047618</v>
      </c>
      <c r="F13" s="132">
        <f t="shared" ref="F13:G13" si="1">F12/(7*16*60)</f>
        <v>0.17712797619047618</v>
      </c>
      <c r="G13" s="132">
        <f t="shared" si="1"/>
        <v>0.17712797619047618</v>
      </c>
      <c r="I13"/>
    </row>
    <row r="14" spans="1:22" x14ac:dyDescent="0.2">
      <c r="C14" s="100" t="s">
        <v>165</v>
      </c>
      <c r="D14" s="12" t="s">
        <v>118</v>
      </c>
      <c r="E14" s="132">
        <f>E13*(1+Assumptions!$H$13)</f>
        <v>0.17994948377581121</v>
      </c>
      <c r="F14" s="132">
        <f>F13*(1+Assumptions!$H$13)</f>
        <v>0.17994948377581121</v>
      </c>
      <c r="G14" s="132">
        <f>G13*(1+Assumptions!$H$13)</f>
        <v>0.17994948377581121</v>
      </c>
    </row>
    <row r="16" spans="1:22" x14ac:dyDescent="0.2">
      <c r="B16" s="129" t="s">
        <v>164</v>
      </c>
      <c r="I16" s="139"/>
    </row>
    <row r="17" spans="1:9" x14ac:dyDescent="0.2">
      <c r="C17" s="100" t="s">
        <v>163</v>
      </c>
      <c r="D17" s="12" t="s">
        <v>118</v>
      </c>
      <c r="E17" s="131">
        <v>165015000000</v>
      </c>
      <c r="F17" s="131">
        <v>165015000000</v>
      </c>
      <c r="G17" s="131">
        <v>165015000000</v>
      </c>
      <c r="I17" s="100" t="s">
        <v>224</v>
      </c>
    </row>
    <row r="18" spans="1:9" x14ac:dyDescent="0.2">
      <c r="C18" s="100" t="s">
        <v>162</v>
      </c>
      <c r="D18" s="12" t="s">
        <v>120</v>
      </c>
      <c r="E18" s="112">
        <v>618189</v>
      </c>
      <c r="F18" s="112">
        <v>618189</v>
      </c>
      <c r="G18" s="112">
        <v>618189</v>
      </c>
      <c r="I18" s="100" t="s">
        <v>225</v>
      </c>
    </row>
    <row r="19" spans="1:9" x14ac:dyDescent="0.2">
      <c r="C19" s="100" t="s">
        <v>161</v>
      </c>
      <c r="D19" s="12" t="s">
        <v>118</v>
      </c>
      <c r="E19" s="133">
        <f t="shared" ref="E19:G19" si="2">E17/E18</f>
        <v>266932.92827921559</v>
      </c>
      <c r="F19" s="133">
        <f t="shared" si="2"/>
        <v>266932.92827921559</v>
      </c>
      <c r="G19" s="133">
        <f t="shared" si="2"/>
        <v>266932.92827921559</v>
      </c>
    </row>
    <row r="20" spans="1:9" x14ac:dyDescent="0.2">
      <c r="C20" s="100" t="s">
        <v>160</v>
      </c>
      <c r="D20" s="12" t="s">
        <v>118</v>
      </c>
      <c r="E20" s="132">
        <f>E19/(365*16*60)</f>
        <v>0.761794886641597</v>
      </c>
      <c r="F20" s="132">
        <f t="shared" ref="F20:G20" si="3">F19/(365*16*60)</f>
        <v>0.761794886641597</v>
      </c>
      <c r="G20" s="132">
        <f t="shared" si="3"/>
        <v>0.761794886641597</v>
      </c>
    </row>
    <row r="22" spans="1:9" x14ac:dyDescent="0.2">
      <c r="B22" s="100" t="s">
        <v>159</v>
      </c>
      <c r="D22" s="12" t="s">
        <v>118</v>
      </c>
      <c r="E22" s="153">
        <f t="shared" ref="E22:F22" si="4">(E7*E14+E8*E20)/E9</f>
        <v>0.27498328349530532</v>
      </c>
      <c r="F22" s="153">
        <f t="shared" si="4"/>
        <v>0.25010983483223553</v>
      </c>
      <c r="G22" s="153">
        <f>(G7*G14+G8*G20)/G9</f>
        <v>0.25708933060786981</v>
      </c>
    </row>
    <row r="23" spans="1:9" x14ac:dyDescent="0.2">
      <c r="B23" s="129" t="s">
        <v>159</v>
      </c>
      <c r="D23" s="12" t="s">
        <v>111</v>
      </c>
      <c r="E23" s="152">
        <f>E22/Assumptions!$H$14*Assumptions!$J$14</f>
        <v>0.28665302515600916</v>
      </c>
      <c r="F23" s="152">
        <f>F22/Assumptions!$H$14*Assumptions!$J$14</f>
        <v>0.26072399698127147</v>
      </c>
      <c r="G23" s="152">
        <f>G22/Assumptions!$H$14*Assumptions!$J$14</f>
        <v>0.26799968862593576</v>
      </c>
    </row>
    <row r="25" spans="1:9" x14ac:dyDescent="0.2">
      <c r="A25" s="42" t="s">
        <v>178</v>
      </c>
    </row>
    <row r="26" spans="1:9" x14ac:dyDescent="0.2">
      <c r="B26" s="129" t="s">
        <v>158</v>
      </c>
    </row>
    <row r="27" spans="1:9" ht="15" x14ac:dyDescent="0.25">
      <c r="C27" s="100" t="s">
        <v>157</v>
      </c>
      <c r="D27" s="2" t="s">
        <v>120</v>
      </c>
      <c r="E27" s="2"/>
      <c r="F27" s="2"/>
      <c r="G27" s="112">
        <f>151650+61805</f>
        <v>213455</v>
      </c>
      <c r="H27" s="125"/>
    </row>
    <row r="28" spans="1:9" x14ac:dyDescent="0.2">
      <c r="C28" s="100" t="s">
        <v>135</v>
      </c>
      <c r="D28" s="2" t="s">
        <v>122</v>
      </c>
      <c r="E28" s="2"/>
      <c r="F28" s="2"/>
      <c r="G28" s="134">
        <f>245/60</f>
        <v>4.083333333333333</v>
      </c>
    </row>
    <row r="29" spans="1:9" x14ac:dyDescent="0.2">
      <c r="C29" s="100" t="s">
        <v>156</v>
      </c>
      <c r="D29" s="2" t="s">
        <v>122</v>
      </c>
      <c r="E29" s="2"/>
      <c r="F29" s="2"/>
      <c r="G29" s="130">
        <f>G27*G28</f>
        <v>871607.91666666663</v>
      </c>
    </row>
    <row r="30" spans="1:9" x14ac:dyDescent="0.2">
      <c r="C30" s="100" t="s">
        <v>155</v>
      </c>
      <c r="D30" s="2" t="s">
        <v>122</v>
      </c>
      <c r="E30" s="2"/>
      <c r="F30" s="2"/>
      <c r="G30" s="136">
        <f>G29/G9</f>
        <v>0.67260340270232444</v>
      </c>
    </row>
    <row r="31" spans="1:9" x14ac:dyDescent="0.2">
      <c r="B31" s="129" t="s">
        <v>154</v>
      </c>
      <c r="D31" s="2"/>
      <c r="E31" s="2"/>
      <c r="F31" s="2"/>
    </row>
    <row r="32" spans="1:9" x14ac:dyDescent="0.2">
      <c r="C32" s="100" t="s">
        <v>214</v>
      </c>
      <c r="D32" s="2"/>
      <c r="E32" s="2"/>
      <c r="F32" s="2"/>
      <c r="G32" s="158">
        <v>7</v>
      </c>
      <c r="I32" s="157"/>
    </row>
    <row r="33" spans="2:7" x14ac:dyDescent="0.2">
      <c r="C33" s="100" t="str">
        <f>$G$32&amp;"% reduction in calls"</f>
        <v>7% reduction in calls</v>
      </c>
      <c r="D33" s="42" t="s">
        <v>122</v>
      </c>
      <c r="E33" s="42"/>
      <c r="F33" s="42"/>
      <c r="G33" s="135">
        <f>($G$32%*$G$29)/$G$9</f>
        <v>4.7082238189162719E-2</v>
      </c>
    </row>
    <row r="34" spans="2:7" x14ac:dyDescent="0.2">
      <c r="C34" s="129" t="s">
        <v>148</v>
      </c>
      <c r="D34" s="42" t="s">
        <v>122</v>
      </c>
      <c r="E34" s="42"/>
      <c r="F34" s="42"/>
      <c r="G34" s="137">
        <f>G33*G9</f>
        <v>61012.554166666669</v>
      </c>
    </row>
    <row r="35" spans="2:7" x14ac:dyDescent="0.2">
      <c r="C35" s="129"/>
      <c r="D35" s="42"/>
      <c r="E35" s="42"/>
      <c r="F35" s="42"/>
      <c r="G35" s="137"/>
    </row>
    <row r="36" spans="2:7" x14ac:dyDescent="0.2">
      <c r="C36" s="129"/>
      <c r="D36" s="42"/>
      <c r="E36" s="42"/>
      <c r="F36" s="42"/>
      <c r="G36" s="137"/>
    </row>
    <row r="37" spans="2:7" x14ac:dyDescent="0.2">
      <c r="B37" s="129" t="s">
        <v>153</v>
      </c>
    </row>
    <row r="38" spans="2:7" x14ac:dyDescent="0.2">
      <c r="C38" s="100" t="s">
        <v>181</v>
      </c>
      <c r="D38" s="2" t="s">
        <v>120</v>
      </c>
      <c r="E38" s="2"/>
      <c r="F38" s="2"/>
      <c r="G38" s="112">
        <f>G9*0.5</f>
        <v>647936</v>
      </c>
    </row>
    <row r="39" spans="2:7" x14ac:dyDescent="0.2">
      <c r="C39" s="100" t="s">
        <v>152</v>
      </c>
      <c r="D39" s="2" t="s">
        <v>122</v>
      </c>
      <c r="E39" s="2"/>
      <c r="F39" s="2"/>
      <c r="G39" s="112">
        <v>3</v>
      </c>
    </row>
    <row r="40" spans="2:7" x14ac:dyDescent="0.2">
      <c r="C40" s="100" t="s">
        <v>151</v>
      </c>
      <c r="D40" s="2" t="s">
        <v>122</v>
      </c>
      <c r="E40" s="2"/>
      <c r="F40" s="2"/>
      <c r="G40" s="130">
        <f>G38*G39</f>
        <v>1943808</v>
      </c>
    </row>
    <row r="41" spans="2:7" x14ac:dyDescent="0.2">
      <c r="C41" s="100" t="s">
        <v>150</v>
      </c>
      <c r="D41" s="2" t="s">
        <v>120</v>
      </c>
      <c r="E41" s="2"/>
      <c r="F41" s="2"/>
      <c r="G41" s="112">
        <v>4</v>
      </c>
    </row>
    <row r="42" spans="2:7" x14ac:dyDescent="0.2">
      <c r="C42" s="100" t="s">
        <v>149</v>
      </c>
      <c r="D42" s="2" t="s">
        <v>122</v>
      </c>
      <c r="E42" s="2"/>
      <c r="F42" s="2"/>
      <c r="G42" s="100">
        <f>G40/G38*G41</f>
        <v>12</v>
      </c>
    </row>
    <row r="43" spans="2:7" x14ac:dyDescent="0.2">
      <c r="C43" s="100" t="s">
        <v>148</v>
      </c>
      <c r="D43" s="42" t="s">
        <v>122</v>
      </c>
      <c r="E43" s="42"/>
      <c r="F43" s="42"/>
      <c r="G43" s="137">
        <f>G42*G38</f>
        <v>7775232</v>
      </c>
    </row>
    <row r="46" spans="2:7" x14ac:dyDescent="0.2">
      <c r="B46" s="129" t="s">
        <v>147</v>
      </c>
    </row>
    <row r="47" spans="2:7" x14ac:dyDescent="0.2">
      <c r="C47" s="100" t="s">
        <v>146</v>
      </c>
      <c r="D47" s="2" t="s">
        <v>120</v>
      </c>
      <c r="E47" s="2"/>
      <c r="F47" s="2"/>
      <c r="G47" s="112">
        <v>4500000</v>
      </c>
    </row>
    <row r="48" spans="2:7" x14ac:dyDescent="0.2">
      <c r="C48" s="100" t="s">
        <v>145</v>
      </c>
      <c r="D48" s="2" t="s">
        <v>122</v>
      </c>
      <c r="E48" s="2"/>
      <c r="F48" s="2"/>
      <c r="G48" s="112">
        <v>1</v>
      </c>
    </row>
    <row r="49" spans="2:12" x14ac:dyDescent="0.2">
      <c r="C49" s="100" t="s">
        <v>182</v>
      </c>
      <c r="D49" s="2" t="s">
        <v>120</v>
      </c>
      <c r="E49" s="2"/>
      <c r="F49" s="2"/>
      <c r="G49" s="112">
        <f>G9*0.5</f>
        <v>647936</v>
      </c>
    </row>
    <row r="50" spans="2:12" x14ac:dyDescent="0.2">
      <c r="C50" s="100" t="s">
        <v>144</v>
      </c>
      <c r="D50" s="2" t="s">
        <v>122</v>
      </c>
      <c r="E50" s="2"/>
      <c r="F50" s="2"/>
      <c r="G50" s="112">
        <v>3</v>
      </c>
    </row>
    <row r="51" spans="2:12" x14ac:dyDescent="0.2">
      <c r="C51" s="129" t="s">
        <v>143</v>
      </c>
      <c r="D51" s="42" t="s">
        <v>122</v>
      </c>
      <c r="E51" s="42"/>
      <c r="F51" s="42"/>
      <c r="G51" s="159">
        <f>G47*G48+G49*G50</f>
        <v>6443808</v>
      </c>
      <c r="L51" s="157"/>
    </row>
    <row r="54" spans="2:12" x14ac:dyDescent="0.2">
      <c r="B54" s="42" t="s">
        <v>210</v>
      </c>
    </row>
    <row r="55" spans="2:12" x14ac:dyDescent="0.2">
      <c r="C55" s="100" t="s">
        <v>211</v>
      </c>
      <c r="D55" s="100" t="s">
        <v>120</v>
      </c>
      <c r="G55" s="112">
        <v>369</v>
      </c>
    </row>
    <row r="56" spans="2:12" x14ac:dyDescent="0.2">
      <c r="C56" s="100" t="s">
        <v>132</v>
      </c>
      <c r="D56" s="100" t="s">
        <v>122</v>
      </c>
      <c r="G56" s="112">
        <v>120</v>
      </c>
    </row>
    <row r="57" spans="2:12" x14ac:dyDescent="0.2">
      <c r="C57" s="129" t="s">
        <v>131</v>
      </c>
      <c r="D57" s="129" t="s">
        <v>122</v>
      </c>
      <c r="G57" s="141">
        <f>G55*G56</f>
        <v>44280</v>
      </c>
    </row>
    <row r="60" spans="2:12" x14ac:dyDescent="0.2">
      <c r="B60" s="42" t="s">
        <v>142</v>
      </c>
      <c r="D60" s="2"/>
      <c r="E60" s="2"/>
      <c r="F60" s="2"/>
    </row>
    <row r="61" spans="2:12" x14ac:dyDescent="0.2">
      <c r="C61" s="2" t="s">
        <v>141</v>
      </c>
      <c r="D61" s="2" t="s">
        <v>120</v>
      </c>
      <c r="E61" s="2"/>
      <c r="F61" s="2"/>
      <c r="G61" s="112">
        <v>250000</v>
      </c>
    </row>
    <row r="62" spans="2:12" x14ac:dyDescent="0.2">
      <c r="C62" s="2" t="s">
        <v>140</v>
      </c>
      <c r="D62" s="2" t="s">
        <v>139</v>
      </c>
      <c r="E62" s="2"/>
      <c r="F62" s="2"/>
      <c r="G62" s="140">
        <f>2/3</f>
        <v>0.66666666666666663</v>
      </c>
    </row>
    <row r="63" spans="2:12" x14ac:dyDescent="0.2">
      <c r="C63" s="2" t="s">
        <v>138</v>
      </c>
      <c r="D63" s="2" t="s">
        <v>122</v>
      </c>
      <c r="E63" s="2"/>
      <c r="F63" s="2"/>
      <c r="G63" s="112">
        <v>3</v>
      </c>
    </row>
    <row r="64" spans="2:12" x14ac:dyDescent="0.2">
      <c r="C64" s="42" t="s">
        <v>138</v>
      </c>
      <c r="D64" s="42" t="s">
        <v>122</v>
      </c>
      <c r="E64" s="42"/>
      <c r="F64" s="42"/>
      <c r="G64" s="141">
        <f>G61*G62*G63</f>
        <v>500000</v>
      </c>
    </row>
    <row r="65" spans="1:9" x14ac:dyDescent="0.2">
      <c r="C65" s="2"/>
      <c r="D65" s="2"/>
      <c r="E65" s="2"/>
      <c r="F65" s="2"/>
    </row>
    <row r="66" spans="1:9" x14ac:dyDescent="0.2">
      <c r="B66" s="42" t="s">
        <v>137</v>
      </c>
      <c r="D66" s="2"/>
      <c r="E66" s="2"/>
      <c r="F66" s="2"/>
    </row>
    <row r="67" spans="1:9" x14ac:dyDescent="0.2">
      <c r="C67" s="2" t="s">
        <v>136</v>
      </c>
      <c r="D67" s="2" t="s">
        <v>120</v>
      </c>
      <c r="E67" s="2"/>
      <c r="F67" s="2"/>
      <c r="G67" s="112">
        <f>233064+67503</f>
        <v>300567</v>
      </c>
    </row>
    <row r="68" spans="1:9" x14ac:dyDescent="0.2">
      <c r="C68" s="2" t="s">
        <v>135</v>
      </c>
      <c r="D68" s="2" t="s">
        <v>122</v>
      </c>
      <c r="E68" s="2"/>
      <c r="F68" s="2"/>
      <c r="G68" s="142">
        <f>248/60</f>
        <v>4.1333333333333337</v>
      </c>
    </row>
    <row r="69" spans="1:9" x14ac:dyDescent="0.2">
      <c r="C69" s="2" t="s">
        <v>134</v>
      </c>
      <c r="D69" s="2" t="s">
        <v>120</v>
      </c>
      <c r="E69" s="2"/>
      <c r="F69" s="2"/>
      <c r="G69" s="112">
        <f>G67*0.1</f>
        <v>30056.7</v>
      </c>
    </row>
    <row r="70" spans="1:9" x14ac:dyDescent="0.2">
      <c r="C70" s="42" t="s">
        <v>133</v>
      </c>
      <c r="D70" s="42" t="s">
        <v>122</v>
      </c>
      <c r="E70" s="42"/>
      <c r="F70" s="42"/>
      <c r="G70" s="143">
        <f>G68*G69</f>
        <v>124234.36000000002</v>
      </c>
    </row>
    <row r="71" spans="1:9" x14ac:dyDescent="0.2">
      <c r="C71" s="2"/>
      <c r="D71" s="2"/>
      <c r="E71" s="2"/>
      <c r="F71" s="2"/>
    </row>
    <row r="72" spans="1:9" x14ac:dyDescent="0.2">
      <c r="C72" s="2"/>
      <c r="D72" s="2"/>
      <c r="E72" s="2"/>
      <c r="F72" s="2"/>
    </row>
    <row r="73" spans="1:9" x14ac:dyDescent="0.2">
      <c r="A73" s="42" t="s">
        <v>130</v>
      </c>
      <c r="D73" s="2"/>
      <c r="E73" s="2"/>
      <c r="F73" s="2"/>
      <c r="G73" s="122" t="s">
        <v>179</v>
      </c>
    </row>
    <row r="74" spans="1:9" x14ac:dyDescent="0.2">
      <c r="B74" s="42" t="s">
        <v>129</v>
      </c>
      <c r="D74" s="2"/>
      <c r="E74" s="2"/>
      <c r="F74" s="2"/>
    </row>
    <row r="75" spans="1:9" x14ac:dyDescent="0.2">
      <c r="C75" s="2" t="s">
        <v>128</v>
      </c>
      <c r="D75" s="2" t="s">
        <v>120</v>
      </c>
      <c r="E75" s="2"/>
      <c r="F75" s="2"/>
      <c r="G75" s="112">
        <f>(G67+G27)/30</f>
        <v>17134.066666666666</v>
      </c>
    </row>
    <row r="76" spans="1:9" x14ac:dyDescent="0.2">
      <c r="C76" s="2" t="s">
        <v>127</v>
      </c>
      <c r="D76" s="2" t="s">
        <v>120</v>
      </c>
      <c r="E76" s="2"/>
      <c r="F76" s="2"/>
      <c r="G76" s="112">
        <f>G69+G29*$G$32%</f>
        <v>91069.254166666666</v>
      </c>
      <c r="I76" s="157"/>
    </row>
    <row r="77" spans="1:9" x14ac:dyDescent="0.2">
      <c r="C77" s="42" t="s">
        <v>126</v>
      </c>
      <c r="D77" s="42" t="s">
        <v>120</v>
      </c>
      <c r="E77" s="42"/>
      <c r="F77" s="42"/>
      <c r="G77" s="129">
        <f>ROUND(G76/G75,0)</f>
        <v>5</v>
      </c>
    </row>
    <row r="78" spans="1:9" x14ac:dyDescent="0.2">
      <c r="C78" s="42"/>
      <c r="D78" s="42"/>
      <c r="E78" s="42"/>
      <c r="F78" s="42"/>
    </row>
    <row r="79" spans="1:9" x14ac:dyDescent="0.2">
      <c r="C79" s="42" t="s">
        <v>125</v>
      </c>
      <c r="D79" s="42"/>
      <c r="E79" s="42"/>
      <c r="F79" s="42"/>
    </row>
    <row r="80" spans="1:9" x14ac:dyDescent="0.2">
      <c r="C80" s="2" t="s">
        <v>124</v>
      </c>
      <c r="D80" s="2" t="s">
        <v>122</v>
      </c>
      <c r="E80" s="2"/>
      <c r="F80" s="2"/>
      <c r="G80" s="112">
        <v>120</v>
      </c>
    </row>
    <row r="81" spans="1:16" x14ac:dyDescent="0.2">
      <c r="C81" s="2" t="s">
        <v>123</v>
      </c>
      <c r="D81" s="2" t="s">
        <v>122</v>
      </c>
      <c r="E81" s="2"/>
      <c r="F81" s="2"/>
      <c r="G81" s="130">
        <f>G80*G55</f>
        <v>44280</v>
      </c>
    </row>
    <row r="82" spans="1:16" x14ac:dyDescent="0.2">
      <c r="C82" s="42" t="s">
        <v>121</v>
      </c>
      <c r="D82" s="42" t="s">
        <v>120</v>
      </c>
      <c r="E82" s="42"/>
      <c r="F82" s="42"/>
      <c r="G82" s="144">
        <f>ROUND(G81/(35*60*48),0)</f>
        <v>0</v>
      </c>
      <c r="L82" s="157"/>
    </row>
    <row r="83" spans="1:16" x14ac:dyDescent="0.2">
      <c r="C83" s="2"/>
      <c r="D83" s="2"/>
      <c r="E83" s="2"/>
      <c r="F83" s="2"/>
    </row>
    <row r="84" spans="1:16" x14ac:dyDescent="0.2">
      <c r="C84" s="2" t="s">
        <v>119</v>
      </c>
      <c r="D84" s="2" t="s">
        <v>118</v>
      </c>
      <c r="E84" s="2"/>
      <c r="F84" s="2"/>
      <c r="G84" s="112">
        <v>83726.5</v>
      </c>
    </row>
    <row r="85" spans="1:16" x14ac:dyDescent="0.2">
      <c r="C85" s="2" t="s">
        <v>117</v>
      </c>
      <c r="D85" s="2" t="s">
        <v>118</v>
      </c>
      <c r="E85" s="2"/>
      <c r="F85" s="2"/>
      <c r="G85" s="130">
        <f>G84*SUM(G77+G82)</f>
        <v>418632.5</v>
      </c>
    </row>
    <row r="86" spans="1:16" x14ac:dyDescent="0.2">
      <c r="C86" s="42" t="s">
        <v>117</v>
      </c>
      <c r="D86" s="42" t="s">
        <v>111</v>
      </c>
      <c r="E86" s="42"/>
      <c r="F86" s="42"/>
      <c r="G86" s="137">
        <f>G85/Assumptions!H14*Assumptions!J14</f>
        <v>436398.42767268338</v>
      </c>
    </row>
    <row r="88" spans="1:16" ht="15.75" x14ac:dyDescent="0.25">
      <c r="A88" s="145" t="s">
        <v>116</v>
      </c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</row>
    <row r="89" spans="1:16" s="2" customFormat="1" ht="15.75" x14ac:dyDescent="0.25">
      <c r="A89" s="126"/>
    </row>
    <row r="90" spans="1:16" s="2" customFormat="1" ht="15.75" x14ac:dyDescent="0.25">
      <c r="A90" s="126"/>
      <c r="C90" s="2" t="s">
        <v>115</v>
      </c>
      <c r="D90" s="112">
        <v>6</v>
      </c>
      <c r="E90" s="156"/>
      <c r="F90" s="156"/>
    </row>
    <row r="91" spans="1:16" s="2" customFormat="1" ht="15.75" x14ac:dyDescent="0.25">
      <c r="A91" s="126"/>
    </row>
    <row r="92" spans="1:16" x14ac:dyDescent="0.2">
      <c r="C92" s="147" t="s">
        <v>20</v>
      </c>
      <c r="D92" s="122"/>
      <c r="E92" s="122"/>
      <c r="F92" s="122"/>
      <c r="G92" s="122" t="s">
        <v>15</v>
      </c>
      <c r="H92" s="122" t="s">
        <v>16</v>
      </c>
      <c r="I92" s="122" t="s">
        <v>17</v>
      </c>
      <c r="J92" s="122" t="s">
        <v>18</v>
      </c>
      <c r="K92" s="122" t="s">
        <v>19</v>
      </c>
      <c r="L92" s="122" t="s">
        <v>183</v>
      </c>
      <c r="M92" s="122" t="s">
        <v>184</v>
      </c>
      <c r="N92" s="122" t="s">
        <v>185</v>
      </c>
      <c r="O92" s="122" t="s">
        <v>186</v>
      </c>
      <c r="P92" s="122" t="s">
        <v>187</v>
      </c>
    </row>
    <row r="93" spans="1:16" x14ac:dyDescent="0.2">
      <c r="C93" s="2" t="s">
        <v>114</v>
      </c>
      <c r="D93" s="2" t="s">
        <v>111</v>
      </c>
      <c r="E93" s="2"/>
      <c r="F93" s="2"/>
      <c r="G93" s="148">
        <f>'Option 2'!Q$111</f>
        <v>2090156.3967672526</v>
      </c>
      <c r="H93" s="148">
        <f>'Option 2'!R$111</f>
        <v>1541333.6074543325</v>
      </c>
      <c r="I93" s="148">
        <f>'Option 2'!S$111</f>
        <v>4911107.4368797224</v>
      </c>
      <c r="J93" s="148">
        <f>'Option 2'!T$111</f>
        <v>2528296.4244953534</v>
      </c>
      <c r="K93" s="148">
        <f>'Option 2'!U$111</f>
        <v>489189.00387719373</v>
      </c>
      <c r="L93" s="155">
        <f>G93*0.5</f>
        <v>1045078.1983836263</v>
      </c>
      <c r="M93" s="148">
        <f t="shared" ref="M93:P93" si="5">H93*0.5</f>
        <v>770666.80372716626</v>
      </c>
      <c r="N93" s="148">
        <f t="shared" si="5"/>
        <v>2455553.7184398612</v>
      </c>
      <c r="O93" s="148">
        <f t="shared" si="5"/>
        <v>1264148.2122476767</v>
      </c>
      <c r="P93" s="148">
        <f t="shared" si="5"/>
        <v>244594.50193859686</v>
      </c>
    </row>
    <row r="94" spans="1:16" x14ac:dyDescent="0.2">
      <c r="C94" s="2" t="s">
        <v>113</v>
      </c>
      <c r="D94" s="2" t="s">
        <v>111</v>
      </c>
      <c r="E94" s="2"/>
      <c r="F94" s="2"/>
      <c r="G94" s="12"/>
      <c r="H94" s="148">
        <f>($G$34+$G$51+$G$70)*$G$23</f>
        <v>1776584.6528808959</v>
      </c>
      <c r="I94" s="148">
        <f>($G$34+$G$51+$G$70)*$G$23</f>
        <v>1776584.6528808959</v>
      </c>
      <c r="J94" s="154">
        <f>($G$34+$G$51+$G$57+$G$64+$G$70)*$G$23</f>
        <v>1922451.5234062204</v>
      </c>
      <c r="K94" s="154">
        <f>($G$34+$G$43+$G$51+$G$57+$G$64+$G$70)*$G$23</f>
        <v>4006211.2784006321</v>
      </c>
      <c r="L94" s="154">
        <f t="shared" ref="L94:P94" si="6">($G$34+$G$43+$G$51+$G$57+$G$64+$G$70)*$G$23</f>
        <v>4006211.2784006321</v>
      </c>
      <c r="M94" s="154">
        <f t="shared" si="6"/>
        <v>4006211.2784006321</v>
      </c>
      <c r="N94" s="154">
        <f t="shared" si="6"/>
        <v>4006211.2784006321</v>
      </c>
      <c r="O94" s="154">
        <f t="shared" si="6"/>
        <v>4006211.2784006321</v>
      </c>
      <c r="P94" s="154">
        <f t="shared" si="6"/>
        <v>4006211.2784006321</v>
      </c>
    </row>
    <row r="95" spans="1:16" x14ac:dyDescent="0.2">
      <c r="C95" s="2" t="s">
        <v>112</v>
      </c>
      <c r="D95" s="2" t="s">
        <v>111</v>
      </c>
      <c r="E95" s="2"/>
      <c r="F95" s="2"/>
      <c r="G95" s="12"/>
      <c r="H95" s="12"/>
      <c r="I95" s="148">
        <f>$G$86*0.1</f>
        <v>43639.842767268339</v>
      </c>
      <c r="J95" s="154">
        <f>$G$86*0.2</f>
        <v>87279.685534536678</v>
      </c>
      <c r="K95" s="154">
        <f>$G$86*0.7</f>
        <v>305478.89937087835</v>
      </c>
      <c r="L95" s="154">
        <f t="shared" ref="L95:P95" si="7">$G$86*0.7</f>
        <v>305478.89937087835</v>
      </c>
      <c r="M95" s="154">
        <f t="shared" si="7"/>
        <v>305478.89937087835</v>
      </c>
      <c r="N95" s="154">
        <f t="shared" si="7"/>
        <v>305478.89937087835</v>
      </c>
      <c r="O95" s="154">
        <f t="shared" si="7"/>
        <v>305478.89937087835</v>
      </c>
      <c r="P95" s="154">
        <f t="shared" si="7"/>
        <v>305478.89937087835</v>
      </c>
    </row>
    <row r="96" spans="1:16" x14ac:dyDescent="0.2"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2:20" ht="15" x14ac:dyDescent="0.25">
      <c r="C97" s="34" t="s">
        <v>110</v>
      </c>
      <c r="G97" s="12">
        <f>COUNT(G93:$P93)</f>
        <v>10</v>
      </c>
      <c r="H97" s="12">
        <f>COUNT(H93:$P93)</f>
        <v>9</v>
      </c>
      <c r="I97" s="12">
        <f>COUNT(I93:$P93)</f>
        <v>8</v>
      </c>
      <c r="J97" s="12">
        <f>COUNT(J93:$P93)</f>
        <v>7</v>
      </c>
      <c r="K97" s="12">
        <f>COUNT(K93:$P93)</f>
        <v>6</v>
      </c>
      <c r="L97" s="12">
        <f>COUNT(L93:$P93)</f>
        <v>5</v>
      </c>
      <c r="M97" s="12">
        <f>COUNT(M93:$P93)</f>
        <v>4</v>
      </c>
      <c r="N97" s="12">
        <f>COUNT(N93:$P93)</f>
        <v>3</v>
      </c>
      <c r="O97" s="12">
        <f>COUNT(O93:$P93)</f>
        <v>2</v>
      </c>
      <c r="P97" s="12">
        <f>COUNT(P93:$P93)</f>
        <v>1</v>
      </c>
    </row>
    <row r="98" spans="2:20" ht="15" x14ac:dyDescent="0.25">
      <c r="C98" s="34" t="s">
        <v>109</v>
      </c>
      <c r="G98" s="149">
        <f>(1+Assumptions!$B$6)^(G97-1)</f>
        <v>1.2765460171160807</v>
      </c>
      <c r="H98" s="149">
        <f>(1+Assumptions!$B$6)^(H97-1)</f>
        <v>1.2423805519377913</v>
      </c>
      <c r="I98" s="149">
        <f>(1+Assumptions!$B$6)^(I97-1)</f>
        <v>1.2091294909370232</v>
      </c>
      <c r="J98" s="149">
        <f>(1+Assumptions!$B$6)^(J97-1)</f>
        <v>1.1767683610092683</v>
      </c>
      <c r="K98" s="149">
        <f>(1+Assumptions!$B$6)^(K97-1)</f>
        <v>1.1452733440479497</v>
      </c>
      <c r="L98" s="149">
        <f>(1+Assumptions!$B$6)^(L97-1)</f>
        <v>1.1146212594140628</v>
      </c>
      <c r="M98" s="149">
        <f>(1+Assumptions!$B$6)^(M97-1)</f>
        <v>1.0847895468750002</v>
      </c>
      <c r="N98" s="149">
        <f>(1+Assumptions!$B$6)^(N97-1)</f>
        <v>1.0557562500000002</v>
      </c>
      <c r="O98" s="149">
        <f>(1+Assumptions!$B$6)^(O97-1)</f>
        <v>1.0275000000000001</v>
      </c>
      <c r="P98" s="149">
        <f>(1+Assumptions!$B$6)^(P97-1)</f>
        <v>1</v>
      </c>
    </row>
    <row r="99" spans="2:20" ht="15" x14ac:dyDescent="0.25">
      <c r="C99" s="34" t="s">
        <v>108</v>
      </c>
      <c r="G99" s="148">
        <f>SUMPRODUCT(G93:P93,G98:P98)</f>
        <v>20193593.568376675</v>
      </c>
    </row>
    <row r="100" spans="2:20" ht="15" x14ac:dyDescent="0.25">
      <c r="C100" s="34"/>
    </row>
    <row r="101" spans="2:20" ht="15" x14ac:dyDescent="0.25">
      <c r="C101" s="34" t="s">
        <v>107</v>
      </c>
      <c r="G101" s="148">
        <f>-PMT(Assumptions!$B$6,$D$90,-G99,0,0)</f>
        <v>-3696857.8621388632</v>
      </c>
      <c r="H101" s="148">
        <f t="shared" ref="H101:K102" si="8">G101</f>
        <v>-3696857.8621388632</v>
      </c>
      <c r="I101" s="148">
        <f t="shared" si="8"/>
        <v>-3696857.8621388632</v>
      </c>
      <c r="J101" s="148">
        <f t="shared" si="8"/>
        <v>-3696857.8621388632</v>
      </c>
      <c r="K101" s="148">
        <f t="shared" si="8"/>
        <v>-3696857.8621388632</v>
      </c>
      <c r="L101" s="148">
        <f t="shared" ref="L101:L102" si="9">K101</f>
        <v>-3696857.8621388632</v>
      </c>
      <c r="M101" s="148">
        <f t="shared" ref="M101:M102" si="10">L101</f>
        <v>-3696857.8621388632</v>
      </c>
      <c r="N101" s="148">
        <f t="shared" ref="N101:N102" si="11">M101</f>
        <v>-3696857.8621388632</v>
      </c>
      <c r="O101" s="148">
        <f t="shared" ref="O101:O102" si="12">N101</f>
        <v>-3696857.8621388632</v>
      </c>
      <c r="P101" s="148">
        <f t="shared" ref="P101:P102" si="13">O101</f>
        <v>-3696857.8621388632</v>
      </c>
    </row>
    <row r="102" spans="2:20" ht="15" x14ac:dyDescent="0.25">
      <c r="C102" s="34" t="s">
        <v>106</v>
      </c>
      <c r="G102" s="151">
        <f>SUM(K94:K95)</f>
        <v>4311690.1777715106</v>
      </c>
      <c r="H102" s="151">
        <f t="shared" si="8"/>
        <v>4311690.1777715106</v>
      </c>
      <c r="I102" s="151">
        <f t="shared" si="8"/>
        <v>4311690.1777715106</v>
      </c>
      <c r="J102" s="151">
        <f t="shared" si="8"/>
        <v>4311690.1777715106</v>
      </c>
      <c r="K102" s="151">
        <f t="shared" si="8"/>
        <v>4311690.1777715106</v>
      </c>
      <c r="L102" s="151">
        <f t="shared" si="9"/>
        <v>4311690.1777715106</v>
      </c>
      <c r="M102" s="151">
        <f t="shared" si="10"/>
        <v>4311690.1777715106</v>
      </c>
      <c r="N102" s="151">
        <f t="shared" si="11"/>
        <v>4311690.1777715106</v>
      </c>
      <c r="O102" s="151">
        <f t="shared" si="12"/>
        <v>4311690.1777715106</v>
      </c>
      <c r="P102" s="151">
        <f t="shared" si="13"/>
        <v>4311690.1777715106</v>
      </c>
    </row>
    <row r="103" spans="2:20" ht="15" x14ac:dyDescent="0.25">
      <c r="C103" s="124" t="s">
        <v>105</v>
      </c>
      <c r="G103" s="148">
        <f>SUM(G101:G102)</f>
        <v>614832.31563264737</v>
      </c>
      <c r="H103" s="148">
        <f>SUM(H101:H102)</f>
        <v>614832.31563264737</v>
      </c>
      <c r="I103" s="148">
        <f>SUM(I101:I102)</f>
        <v>614832.31563264737</v>
      </c>
      <c r="J103" s="148">
        <f>SUM(J101:J102)</f>
        <v>614832.31563264737</v>
      </c>
      <c r="K103" s="148">
        <f>SUM(K101:K102)</f>
        <v>614832.31563264737</v>
      </c>
      <c r="L103" s="148">
        <f t="shared" ref="L103:P103" si="14">SUM(L101:L102)</f>
        <v>614832.31563264737</v>
      </c>
      <c r="M103" s="148">
        <f t="shared" si="14"/>
        <v>614832.31563264737</v>
      </c>
      <c r="N103" s="148">
        <f t="shared" si="14"/>
        <v>614832.31563264737</v>
      </c>
      <c r="O103" s="148">
        <f t="shared" si="14"/>
        <v>614832.31563264737</v>
      </c>
      <c r="P103" s="148">
        <f t="shared" si="14"/>
        <v>614832.31563264737</v>
      </c>
    </row>
    <row r="106" spans="2:20" x14ac:dyDescent="0.2">
      <c r="C106" s="129" t="s">
        <v>104</v>
      </c>
    </row>
    <row r="107" spans="2:20" x14ac:dyDescent="0.2">
      <c r="C107" s="100" t="s">
        <v>103</v>
      </c>
      <c r="G107" s="148">
        <f>-G93</f>
        <v>-2090156.3967672526</v>
      </c>
      <c r="H107" s="148">
        <f>-H93</f>
        <v>-1541333.6074543325</v>
      </c>
      <c r="I107" s="148">
        <f>-I93</f>
        <v>-4911107.4368797224</v>
      </c>
      <c r="J107" s="148">
        <f>-J93</f>
        <v>-2528296.4244953534</v>
      </c>
      <c r="K107" s="148">
        <f>-K93</f>
        <v>-489189.00387719373</v>
      </c>
      <c r="L107" s="148">
        <f t="shared" ref="L107:P107" si="15">-L93</f>
        <v>-1045078.1983836263</v>
      </c>
      <c r="M107" s="148">
        <f t="shared" si="15"/>
        <v>-770666.80372716626</v>
      </c>
      <c r="N107" s="148">
        <f t="shared" si="15"/>
        <v>-2455553.7184398612</v>
      </c>
      <c r="O107" s="148">
        <f t="shared" si="15"/>
        <v>-1264148.2122476767</v>
      </c>
      <c r="P107" s="148">
        <f t="shared" si="15"/>
        <v>-244594.50193859686</v>
      </c>
      <c r="R107" s="160"/>
      <c r="S107" s="160"/>
      <c r="T107" s="160"/>
    </row>
    <row r="108" spans="2:20" x14ac:dyDescent="0.2">
      <c r="C108" s="100" t="s">
        <v>102</v>
      </c>
      <c r="G108" s="151">
        <f>SUM(G94:G95)</f>
        <v>0</v>
      </c>
      <c r="H108" s="151">
        <f>SUM(H94:H95)</f>
        <v>1776584.6528808959</v>
      </c>
      <c r="I108" s="151">
        <f>SUM(I94:I95)</f>
        <v>1820224.4956481643</v>
      </c>
      <c r="J108" s="151">
        <f>SUM(J94:J95)</f>
        <v>2009731.208940757</v>
      </c>
      <c r="K108" s="151">
        <f>SUM(K94:K95)</f>
        <v>4311690.1777715106</v>
      </c>
      <c r="L108" s="151">
        <f t="shared" ref="L108:P108" si="16">SUM(L94:L95)</f>
        <v>4311690.1777715106</v>
      </c>
      <c r="M108" s="151">
        <f t="shared" si="16"/>
        <v>4311690.1777715106</v>
      </c>
      <c r="N108" s="151">
        <f t="shared" si="16"/>
        <v>4311690.1777715106</v>
      </c>
      <c r="O108" s="151">
        <f t="shared" si="16"/>
        <v>4311690.1777715106</v>
      </c>
      <c r="P108" s="151">
        <f t="shared" si="16"/>
        <v>4311690.1777715106</v>
      </c>
      <c r="R108" s="160"/>
      <c r="S108" s="160"/>
      <c r="T108" s="160"/>
    </row>
    <row r="109" spans="2:20" x14ac:dyDescent="0.2">
      <c r="C109" s="129" t="s">
        <v>180</v>
      </c>
      <c r="G109" s="148">
        <f>SUM(G107:G108)</f>
        <v>-2090156.3967672526</v>
      </c>
      <c r="H109" s="148">
        <f>SUM(H107:H108)</f>
        <v>235251.04542656336</v>
      </c>
      <c r="I109" s="148">
        <f>SUM(I107:I108)</f>
        <v>-3090882.9412315581</v>
      </c>
      <c r="J109" s="148">
        <f>SUM(J107:J108)</f>
        <v>-518565.21555459639</v>
      </c>
      <c r="K109" s="148">
        <f>SUM(K107:K108)</f>
        <v>3822501.1738943169</v>
      </c>
      <c r="L109" s="148">
        <f t="shared" ref="L109:P109" si="17">SUM(L107:L108)</f>
        <v>3266611.979387884</v>
      </c>
      <c r="M109" s="148">
        <f t="shared" si="17"/>
        <v>3541023.3740443443</v>
      </c>
      <c r="N109" s="148">
        <f t="shared" si="17"/>
        <v>1856136.4593316494</v>
      </c>
      <c r="O109" s="148">
        <f t="shared" si="17"/>
        <v>3047541.9655238339</v>
      </c>
      <c r="P109" s="148">
        <f t="shared" si="17"/>
        <v>4067095.6758329137</v>
      </c>
      <c r="R109" s="160"/>
      <c r="S109" s="160"/>
      <c r="T109" s="160"/>
    </row>
    <row r="111" spans="2:20" ht="15" x14ac:dyDescent="0.25">
      <c r="B111" s="124" t="s">
        <v>101</v>
      </c>
      <c r="G111" s="150">
        <f>NPV(Assumptions!$B$6,Benefits!G109:P109)</f>
        <v>10898297.644842776</v>
      </c>
    </row>
    <row r="113" spans="3:20" x14ac:dyDescent="0.2">
      <c r="C113" s="147" t="s">
        <v>28</v>
      </c>
      <c r="D113" s="122"/>
      <c r="E113" s="122"/>
      <c r="F113" s="122"/>
      <c r="G113" s="122" t="s">
        <v>15</v>
      </c>
      <c r="H113" s="122" t="s">
        <v>16</v>
      </c>
      <c r="I113" s="122" t="s">
        <v>17</v>
      </c>
      <c r="J113" s="122" t="s">
        <v>18</v>
      </c>
      <c r="K113" s="122" t="s">
        <v>19</v>
      </c>
      <c r="L113" s="122" t="s">
        <v>183</v>
      </c>
      <c r="M113" s="122" t="s">
        <v>184</v>
      </c>
      <c r="N113" s="122" t="s">
        <v>185</v>
      </c>
      <c r="O113" s="122" t="s">
        <v>186</v>
      </c>
      <c r="P113" s="122" t="s">
        <v>187</v>
      </c>
    </row>
    <row r="114" spans="3:20" x14ac:dyDescent="0.2">
      <c r="C114" s="2" t="s">
        <v>114</v>
      </c>
      <c r="D114" s="2" t="s">
        <v>111</v>
      </c>
      <c r="E114" s="2"/>
      <c r="F114" s="2"/>
      <c r="G114" s="148">
        <f>'Option 1'!Q$96</f>
        <v>2090156.3967672526</v>
      </c>
      <c r="H114" s="148">
        <f>'Option 1'!R$96</f>
        <v>1541333.6074543325</v>
      </c>
      <c r="I114" s="148">
        <f>'Option 1'!S$96</f>
        <v>4308228.0262094652</v>
      </c>
      <c r="J114" s="148">
        <f>'Option 1'!T$96</f>
        <v>1086207.6694174779</v>
      </c>
      <c r="K114" s="148">
        <f>'Option 1'!U$96</f>
        <v>489189.00387719373</v>
      </c>
      <c r="L114" s="148">
        <f>G114*0.5</f>
        <v>1045078.1983836263</v>
      </c>
      <c r="M114" s="148">
        <f t="shared" ref="M114:P114" si="18">H114*0.5</f>
        <v>770666.80372716626</v>
      </c>
      <c r="N114" s="148">
        <f t="shared" si="18"/>
        <v>2154114.0131047326</v>
      </c>
      <c r="O114" s="148">
        <f t="shared" si="18"/>
        <v>543103.83470873896</v>
      </c>
      <c r="P114" s="148">
        <f t="shared" si="18"/>
        <v>244594.50193859686</v>
      </c>
    </row>
    <row r="115" spans="3:20" x14ac:dyDescent="0.2">
      <c r="C115" s="2" t="s">
        <v>113</v>
      </c>
      <c r="D115" s="2" t="s">
        <v>111</v>
      </c>
      <c r="E115" s="2"/>
      <c r="F115" s="2"/>
      <c r="G115" s="12"/>
      <c r="H115" s="148">
        <f>($G$34+$G$51+$G$70)*$G$23</f>
        <v>1776584.6528808959</v>
      </c>
      <c r="I115" s="148">
        <f>($G$34+$G$51+$G$70)*$G$23</f>
        <v>1776584.6528808959</v>
      </c>
      <c r="J115" s="154">
        <f>($G$34+$G$51+$G$57+$G$64+$G$70)*$G$23</f>
        <v>1922451.5234062204</v>
      </c>
      <c r="K115" s="154">
        <f t="shared" ref="K115:P115" si="19">($G$34+$G$51+$G$57+$G$64+$G$70)*$G$23</f>
        <v>1922451.5234062204</v>
      </c>
      <c r="L115" s="154">
        <f t="shared" si="19"/>
        <v>1922451.5234062204</v>
      </c>
      <c r="M115" s="154">
        <f t="shared" si="19"/>
        <v>1922451.5234062204</v>
      </c>
      <c r="N115" s="154">
        <f t="shared" si="19"/>
        <v>1922451.5234062204</v>
      </c>
      <c r="O115" s="154">
        <f t="shared" si="19"/>
        <v>1922451.5234062204</v>
      </c>
      <c r="P115" s="154">
        <f t="shared" si="19"/>
        <v>1922451.5234062204</v>
      </c>
    </row>
    <row r="116" spans="3:20" x14ac:dyDescent="0.2">
      <c r="C116" s="2" t="s">
        <v>112</v>
      </c>
      <c r="D116" s="2" t="s">
        <v>111</v>
      </c>
      <c r="E116" s="2"/>
      <c r="F116" s="2"/>
      <c r="G116" s="12"/>
      <c r="H116" s="12"/>
      <c r="I116" s="148">
        <f>$G$86*0.1</f>
        <v>43639.842767268339</v>
      </c>
      <c r="J116" s="148">
        <f>$G$86*0.2</f>
        <v>87279.685534536678</v>
      </c>
      <c r="K116" s="148">
        <f>$G$86*0.7</f>
        <v>305478.89937087835</v>
      </c>
      <c r="L116" s="148">
        <f t="shared" ref="L116:P116" si="20">$G$86*0.7</f>
        <v>305478.89937087835</v>
      </c>
      <c r="M116" s="148">
        <f t="shared" si="20"/>
        <v>305478.89937087835</v>
      </c>
      <c r="N116" s="148">
        <f t="shared" si="20"/>
        <v>305478.89937087835</v>
      </c>
      <c r="O116" s="148">
        <f t="shared" si="20"/>
        <v>305478.89937087835</v>
      </c>
      <c r="P116" s="148">
        <f t="shared" si="20"/>
        <v>305478.89937087835</v>
      </c>
    </row>
    <row r="117" spans="3:20" x14ac:dyDescent="0.2">
      <c r="G117" s="12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3:20" ht="15" x14ac:dyDescent="0.25">
      <c r="C118" s="34" t="s">
        <v>110</v>
      </c>
      <c r="G118" s="12">
        <f>COUNT(G114:$P114)</f>
        <v>10</v>
      </c>
      <c r="H118" s="12">
        <f>COUNT(H114:$P114)</f>
        <v>9</v>
      </c>
      <c r="I118" s="12">
        <f>COUNT(I114:$P114)</f>
        <v>8</v>
      </c>
      <c r="J118" s="12">
        <f>COUNT(J114:$P114)</f>
        <v>7</v>
      </c>
      <c r="K118" s="12">
        <f>COUNT(K114:$P114)</f>
        <v>6</v>
      </c>
      <c r="L118" s="12">
        <f>COUNT(L114:$P114)</f>
        <v>5</v>
      </c>
      <c r="M118" s="12">
        <f>COUNT(M114:$P114)</f>
        <v>4</v>
      </c>
      <c r="N118" s="12">
        <f>COUNT(N114:$P114)</f>
        <v>3</v>
      </c>
      <c r="O118" s="12">
        <f>COUNT(O114:$P114)</f>
        <v>2</v>
      </c>
      <c r="P118" s="12">
        <f>COUNT(P114:$P114)</f>
        <v>1</v>
      </c>
    </row>
    <row r="119" spans="3:20" ht="15" x14ac:dyDescent="0.25">
      <c r="C119" s="34" t="s">
        <v>109</v>
      </c>
      <c r="G119" s="149">
        <f>(1+Assumptions!$B$6)^(G118-1)</f>
        <v>1.2765460171160807</v>
      </c>
      <c r="H119" s="149">
        <f>(1+Assumptions!$B$6)^(H118-1)</f>
        <v>1.2423805519377913</v>
      </c>
      <c r="I119" s="149">
        <f>(1+Assumptions!$B$6)^(I118-1)</f>
        <v>1.2091294909370232</v>
      </c>
      <c r="J119" s="149">
        <f>(1+Assumptions!$B$6)^(J118-1)</f>
        <v>1.1767683610092683</v>
      </c>
      <c r="K119" s="149">
        <f>(1+Assumptions!$B$6)^(K118-1)</f>
        <v>1.1452733440479497</v>
      </c>
      <c r="L119" s="149">
        <f>(1+Assumptions!$B$6)^(L118-1)</f>
        <v>1.1146212594140628</v>
      </c>
      <c r="M119" s="149">
        <f>(1+Assumptions!$B$6)^(M118-1)</f>
        <v>1.0847895468750002</v>
      </c>
      <c r="N119" s="149">
        <f>(1+Assumptions!$B$6)^(N118-1)</f>
        <v>1.0557562500000002</v>
      </c>
      <c r="O119" s="149">
        <f>(1+Assumptions!$B$6)^(O118-1)</f>
        <v>1.0275000000000001</v>
      </c>
      <c r="P119" s="149">
        <f>(1+Assumptions!$B$6)^(P118-1)</f>
        <v>1</v>
      </c>
    </row>
    <row r="120" spans="3:20" ht="15" x14ac:dyDescent="0.25">
      <c r="C120" s="34" t="s">
        <v>108</v>
      </c>
      <c r="G120" s="148">
        <f>SUMPRODUCT(G114:P114,G119:P119)</f>
        <v>16708509.921886668</v>
      </c>
    </row>
    <row r="121" spans="3:20" ht="15" x14ac:dyDescent="0.25">
      <c r="C121" s="34"/>
    </row>
    <row r="122" spans="3:20" ht="15" x14ac:dyDescent="0.25">
      <c r="C122" s="34" t="s">
        <v>107</v>
      </c>
      <c r="G122" s="148">
        <f>-PMT(Assumptions!$B$6,$D$90,-G120,0,0)</f>
        <v>-3058840.7189734983</v>
      </c>
      <c r="H122" s="148">
        <f t="shared" ref="H122:H123" si="21">G122</f>
        <v>-3058840.7189734983</v>
      </c>
      <c r="I122" s="148">
        <f t="shared" ref="I122:I123" si="22">H122</f>
        <v>-3058840.7189734983</v>
      </c>
      <c r="J122" s="148">
        <f t="shared" ref="J122:J123" si="23">I122</f>
        <v>-3058840.7189734983</v>
      </c>
      <c r="K122" s="148">
        <f t="shared" ref="K122:K123" si="24">J122</f>
        <v>-3058840.7189734983</v>
      </c>
      <c r="L122" s="148">
        <f t="shared" ref="L122:L123" si="25">K122</f>
        <v>-3058840.7189734983</v>
      </c>
      <c r="M122" s="148">
        <f t="shared" ref="M122:M123" si="26">L122</f>
        <v>-3058840.7189734983</v>
      </c>
      <c r="N122" s="148">
        <f t="shared" ref="N122:N123" si="27">M122</f>
        <v>-3058840.7189734983</v>
      </c>
      <c r="O122" s="148">
        <f t="shared" ref="O122:O123" si="28">N122</f>
        <v>-3058840.7189734983</v>
      </c>
      <c r="P122" s="148">
        <f t="shared" ref="P122:P123" si="29">O122</f>
        <v>-3058840.7189734983</v>
      </c>
      <c r="R122" s="160"/>
      <c r="S122" s="160"/>
      <c r="T122" s="160"/>
    </row>
    <row r="123" spans="3:20" ht="15" x14ac:dyDescent="0.25">
      <c r="C123" s="34" t="s">
        <v>106</v>
      </c>
      <c r="G123" s="151">
        <f>SUM(K115:K116)</f>
        <v>2227930.4227770986</v>
      </c>
      <c r="H123" s="151">
        <f t="shared" si="21"/>
        <v>2227930.4227770986</v>
      </c>
      <c r="I123" s="151">
        <f t="shared" si="22"/>
        <v>2227930.4227770986</v>
      </c>
      <c r="J123" s="151">
        <f t="shared" si="23"/>
        <v>2227930.4227770986</v>
      </c>
      <c r="K123" s="151">
        <f t="shared" si="24"/>
        <v>2227930.4227770986</v>
      </c>
      <c r="L123" s="151">
        <f t="shared" si="25"/>
        <v>2227930.4227770986</v>
      </c>
      <c r="M123" s="151">
        <f t="shared" si="26"/>
        <v>2227930.4227770986</v>
      </c>
      <c r="N123" s="151">
        <f t="shared" si="27"/>
        <v>2227930.4227770986</v>
      </c>
      <c r="O123" s="151">
        <f t="shared" si="28"/>
        <v>2227930.4227770986</v>
      </c>
      <c r="P123" s="151">
        <f t="shared" si="29"/>
        <v>2227930.4227770986</v>
      </c>
      <c r="R123" s="160"/>
      <c r="S123" s="160"/>
      <c r="T123" s="160"/>
    </row>
    <row r="124" spans="3:20" ht="15" x14ac:dyDescent="0.25">
      <c r="C124" s="124" t="s">
        <v>105</v>
      </c>
      <c r="G124" s="148">
        <f>SUM(G122:G123)</f>
        <v>-830910.29619639972</v>
      </c>
      <c r="H124" s="148">
        <f>SUM(H122:H123)</f>
        <v>-830910.29619639972</v>
      </c>
      <c r="I124" s="148">
        <f>SUM(I122:I123)</f>
        <v>-830910.29619639972</v>
      </c>
      <c r="J124" s="148">
        <f>SUM(J122:J123)</f>
        <v>-830910.29619639972</v>
      </c>
      <c r="K124" s="148">
        <f>SUM(K122:K123)</f>
        <v>-830910.29619639972</v>
      </c>
      <c r="L124" s="148">
        <f t="shared" ref="L124:P124" si="30">SUM(L122:L123)</f>
        <v>-830910.29619639972</v>
      </c>
      <c r="M124" s="148">
        <f t="shared" si="30"/>
        <v>-830910.29619639972</v>
      </c>
      <c r="N124" s="148">
        <f t="shared" si="30"/>
        <v>-830910.29619639972</v>
      </c>
      <c r="O124" s="148">
        <f t="shared" si="30"/>
        <v>-830910.29619639972</v>
      </c>
      <c r="P124" s="148">
        <f t="shared" si="30"/>
        <v>-830910.29619639972</v>
      </c>
      <c r="R124" s="160"/>
      <c r="S124" s="160"/>
      <c r="T124" s="160"/>
    </row>
    <row r="127" spans="3:20" x14ac:dyDescent="0.2">
      <c r="C127" s="129" t="s">
        <v>104</v>
      </c>
    </row>
    <row r="128" spans="3:20" x14ac:dyDescent="0.2">
      <c r="C128" s="100" t="s">
        <v>103</v>
      </c>
      <c r="G128" s="148">
        <f>-G114</f>
        <v>-2090156.3967672526</v>
      </c>
      <c r="H128" s="148">
        <f>-H114</f>
        <v>-1541333.6074543325</v>
      </c>
      <c r="I128" s="148">
        <f>-I114</f>
        <v>-4308228.0262094652</v>
      </c>
      <c r="J128" s="148">
        <f>-J114</f>
        <v>-1086207.6694174779</v>
      </c>
      <c r="K128" s="148">
        <f>-K114</f>
        <v>-489189.00387719373</v>
      </c>
      <c r="L128" s="148">
        <f t="shared" ref="L128:P128" si="31">-L114</f>
        <v>-1045078.1983836263</v>
      </c>
      <c r="M128" s="148">
        <f t="shared" si="31"/>
        <v>-770666.80372716626</v>
      </c>
      <c r="N128" s="148">
        <f t="shared" si="31"/>
        <v>-2154114.0131047326</v>
      </c>
      <c r="O128" s="148">
        <f t="shared" si="31"/>
        <v>-543103.83470873896</v>
      </c>
      <c r="P128" s="148">
        <f t="shared" si="31"/>
        <v>-244594.50193859686</v>
      </c>
      <c r="R128" s="160"/>
      <c r="S128" s="160"/>
      <c r="T128" s="160"/>
    </row>
    <row r="129" spans="2:20" x14ac:dyDescent="0.2">
      <c r="C129" s="100" t="s">
        <v>102</v>
      </c>
      <c r="G129" s="151">
        <f>SUM(G115:G116)</f>
        <v>0</v>
      </c>
      <c r="H129" s="151">
        <f>SUM(H115:H116)</f>
        <v>1776584.6528808959</v>
      </c>
      <c r="I129" s="151">
        <f>SUM(I115:I116)</f>
        <v>1820224.4956481643</v>
      </c>
      <c r="J129" s="151">
        <f>SUM(J115:J116)</f>
        <v>2009731.208940757</v>
      </c>
      <c r="K129" s="151">
        <f>SUM(K115:K116)</f>
        <v>2227930.4227770986</v>
      </c>
      <c r="L129" s="151">
        <f t="shared" ref="L129:P129" si="32">SUM(L115:L116)</f>
        <v>2227930.4227770986</v>
      </c>
      <c r="M129" s="151">
        <f t="shared" si="32"/>
        <v>2227930.4227770986</v>
      </c>
      <c r="N129" s="151">
        <f t="shared" si="32"/>
        <v>2227930.4227770986</v>
      </c>
      <c r="O129" s="151">
        <f t="shared" si="32"/>
        <v>2227930.4227770986</v>
      </c>
      <c r="P129" s="151">
        <f t="shared" si="32"/>
        <v>2227930.4227770986</v>
      </c>
      <c r="R129" s="160"/>
      <c r="S129" s="160"/>
      <c r="T129" s="160"/>
    </row>
    <row r="130" spans="2:20" x14ac:dyDescent="0.2">
      <c r="C130" s="129" t="s">
        <v>180</v>
      </c>
      <c r="G130" s="148">
        <f>SUM(G128:G129)</f>
        <v>-2090156.3967672526</v>
      </c>
      <c r="H130" s="148">
        <f>SUM(H128:H129)</f>
        <v>235251.04542656336</v>
      </c>
      <c r="I130" s="148">
        <f>SUM(I128:I129)</f>
        <v>-2488003.5305613009</v>
      </c>
      <c r="J130" s="148">
        <f>SUM(J128:J129)</f>
        <v>923523.53952327906</v>
      </c>
      <c r="K130" s="148">
        <f>SUM(K128:K129)</f>
        <v>1738741.4188999049</v>
      </c>
      <c r="L130" s="148">
        <f t="shared" ref="L130:P130" si="33">SUM(L128:L129)</f>
        <v>1182852.2243934723</v>
      </c>
      <c r="M130" s="148">
        <f t="shared" si="33"/>
        <v>1457263.6190499323</v>
      </c>
      <c r="N130" s="148">
        <f t="shared" si="33"/>
        <v>73816.40967236599</v>
      </c>
      <c r="O130" s="148">
        <f t="shared" si="33"/>
        <v>1684826.5880683595</v>
      </c>
      <c r="P130" s="148">
        <f t="shared" si="33"/>
        <v>1983335.9208385018</v>
      </c>
      <c r="R130" s="160"/>
      <c r="S130" s="160"/>
      <c r="T130" s="160"/>
    </row>
    <row r="132" spans="2:20" ht="15" x14ac:dyDescent="0.25">
      <c r="B132" s="124" t="s">
        <v>101</v>
      </c>
      <c r="G132" s="150">
        <f>NPV(Assumptions!$B$6,Benefits!G130:P130)</f>
        <v>3343544.4208145104</v>
      </c>
    </row>
  </sheetData>
  <hyperlinks>
    <hyperlink ref="I12" r:id="rId1" display="https://www.abs.gov.au/ausstats/abs@.nsf/mf/6302.0?opendocument&amp;ref=HPKI"/>
    <hyperlink ref="I16" r:id="rId2" display="https://www.inc.com/jim-belosic/how-to-calculate-the-value-of-your-and-your-employees-time.html"/>
    <hyperlink ref="I18" r:id="rId3" display="https://www.abs.gov.au/AUSSTATS/abs@.nsf/DetailsPage/8165.0June%202014%20to%20June%202018?OpenDocument"/>
    <hyperlink ref="I17" r:id="rId4" display="https://www.abs.gov.au/AUSSTATS/abs@.nsf/DetailsPage/5676.0Mar%202019?OpenDocument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Output_NR</vt:lpstr>
      <vt:lpstr>Output_R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2019-11-22T04:22:40Z</dcterms:created>
  <dcterms:modified xsi:type="dcterms:W3CDTF">2020-01-22T05:51:58Z</dcterms:modified>
</cp:coreProperties>
</file>