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Override PartName="/xl/charts/colors7.xml" ContentType="application/vnd.ms-office.chartcolorstyle+xml"/>
  <Override PartName="/xl/charts/style7.xml" ContentType="application/vnd.ms-office.chartstyle+xml"/>
  <Override PartName="/xl/charts/colors8.xml" ContentType="application/vnd.ms-office.chartcolorstyle+xml"/>
  <Override PartName="/xl/charts/style8.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bookViews>
    <workbookView xWindow="-28920" yWindow="-330" windowWidth="29040" windowHeight="15990" tabRatio="821" activeTab="1"/>
  </bookViews>
  <sheets>
    <sheet name="Definitions" sheetId="5" r:id="rId1"/>
    <sheet name="Summary" sheetId="4" r:id="rId2"/>
    <sheet name="Benefit CFs" sheetId="18" r:id="rId3"/>
    <sheet name="CB timeseries Option1 " sheetId="16" r:id="rId4"/>
    <sheet name="CB timeseries Option (no Opex)" sheetId="13" r:id="rId5"/>
    <sheet name="CB timeseries Option2" sheetId="14" r:id="rId6"/>
    <sheet name="CB timeseries Option2 (no Opex)" sheetId="17" r:id="rId7"/>
    <sheet name="Demand Reduction" sheetId="15" r:id="rId8"/>
    <sheet name="Benefit Input Pars" sheetId="1" r:id="rId9"/>
    <sheet name="Platform Cost Inputs" sheetId="10" r:id="rId10"/>
    <sheet name="Time Series Data Inputs" sheetId="3" r:id="rId11"/>
    <sheet name="Device Cost Input" sheetId="12" r:id="rId12"/>
    <sheet name="Benefit Calcs" sheetId="2" r:id="rId13"/>
    <sheet name="Cost Calcs" sheetId="11" r:id="rId14"/>
    <sheet name="Retailer Controlled Load" sheetId="8" state="hidden" r:id="rId15"/>
  </sheets>
  <definedNames>
    <definedName name="Average_Customer_Load">'Benefit Input Pars'!#REF!</definedName>
    <definedName name="Avoided_Opex_for_Deferred_Network_Augementation">'Benefit Input Pars'!#REF!</definedName>
    <definedName name="Depreciation_Rate_for_Deferred_Network_Augmentation">'Benefit Input Pars'!#REF!</definedName>
    <definedName name="Electricity_Distibuted_in_VPN">'Benefit Input Pars'!$B$8</definedName>
    <definedName name="Hot_Water_Load_Control_shifted_to_use_Customer_Solar____of_hot_water_control">'Benefit Input Pars'!$B$80</definedName>
    <definedName name="IInitiative9_Increase_in_number_of_solar_customers_that_are_export_constrained_where_VPN_use_Flexible_Grid_to_control_chargin">'Benefit Input Pars'!$B$67</definedName>
    <definedName name="Initiative_1_Percentage_of_Replacement_Expenditure_deferred_for_Option_2">'Benefit Input Pars'!#REF!</definedName>
    <definedName name="Initiative1_Average_Societal_Value_of_each_Fire_Start">'Benefit Input Pars'!#REF!</definedName>
    <definedName name="Initiative1_Current_replacement_expenditure_for_age_per_year">'Benefit Input Pars'!#REF!</definedName>
    <definedName name="Initiative1_Number_of_Customers_Impacted_by_FOLCB_Fire">'Benefit Input Pars'!#REF!</definedName>
    <definedName name="Initiative1_Number_of_Fire_Starts_Per_Year_from_FOLCBs">'Benefit Input Pars'!#REF!</definedName>
    <definedName name="Initiative1_Percentage_of_Fire_Starts_from_FOLCBs_that_are_now_avoided_with_Option_1">'Benefit Input Pars'!#REF!</definedName>
    <definedName name="Initiative1_Percentage_of_Fire_Starts_from_FOLCBs_that_are_now_avoided_with_Option_2">'Benefit Input Pars'!#REF!</definedName>
    <definedName name="Initiative1_Percentage_of_Replacement_Expenditure_deferred_for_Option_1">'Benefit Input Pars'!#REF!</definedName>
    <definedName name="Initiative1_Percentage_of_Replacement_Expenditure_deferred_for_Option_2">'Benefit Input Pars'!#REF!</definedName>
    <definedName name="Initiative1_Percentage_of_replaement_expenditure_defered_for_Option_1">'Benefit Input Pars'!#REF!</definedName>
    <definedName name="Initiative1_Time_off_Supply_for_FOLCB_Fire">'Benefit Input Pars'!#REF!</definedName>
    <definedName name="Initiative1_Year_when_additional_repalcement_expenditure_starts_to_be_avoided_for_Option_2">'Benefit Input Pars'!#REF!</definedName>
    <definedName name="Initiative1_Year_when_deferred_replacement_expenditure_is_then_required_for_Asset_Failure_Predictions">'Benefit Input Pars'!#REF!</definedName>
    <definedName name="Initiative1_Year_when_Extended_FOLCB_Detection_Available__with_Option_2">'Benefit Input Pars'!#REF!</definedName>
    <definedName name="Initiative1_Year_when_Option_1_FOLCB_Detection_Available">'Benefit Input Pars'!#REF!</definedName>
    <definedName name="Initiative1_Year_when_Replacement_expenditure_achieved_with_Option_1">'Benefit Input Pars'!#REF!</definedName>
    <definedName name="Initiative1_Year_when_replacement_expenditure_starts_to_be_avoided_for_Option_1">'Benefit Input Pars'!#REF!</definedName>
    <definedName name="initiative2">'Benefit Calcs'!#REF!</definedName>
    <definedName name="Initiative2_Additional_Value_of_Upgrades_that_can_be_deferred_with_Option_2">'Benefit Input Pars'!#REF!</definedName>
    <definedName name="Initiative2_Cost_to_replace_Blown_Fuse">'Benefit Input Pars'!#REF!</definedName>
    <definedName name="Initiative2_Hours_off_Supply_due_to_Blown_Fuse">'Benefit Input Pars'!#REF!</definedName>
    <definedName name="Initiative2_Number_of_Blown_Fuses_per_Annum_from_overloading">'Benefit Input Pars'!#REF!</definedName>
    <definedName name="Initiative2_Number_of_customers_off_Supply_from_blown_fuse">'Benefit Input Pars'!#REF!</definedName>
    <definedName name="Initiative2_Percentage_of_Blown_Fuses_that_could_be_avoided_with_Option_1">'Benefit Input Pars'!#REF!</definedName>
    <definedName name="Initiative2_Percentage_of_Blown_Fuses_that_could_be_avoided_with_Option_2">'Benefit Input Pars'!#REF!</definedName>
    <definedName name="Initiative2_Value_of_Upgrades_that_can_be_deferred_with_Option_1">'Benefit Input Pars'!#REF!</definedName>
    <definedName name="Initiative2_Year_when_Option_1_LV_Phase_Identification_Available">'Benefit Input Pars'!#REF!</definedName>
    <definedName name="Initiative2_Year_when_Option_2_LV_Phase_Identification_Available">'Benefit Input Pars'!#REF!</definedName>
    <definedName name="Initiative2_Years_of_deferral_for_Upgrade">'Benefit Input Pars'!#REF!</definedName>
    <definedName name="Initiative3_Avoided_percentage_of_fines_with_advanced_analytics_option_1">'Benefit Input Pars'!#REF!</definedName>
    <definedName name="Initiative3_Current_value_of_fines_per_year_with_life_support_customers">'Benefit Input Pars'!#REF!</definedName>
    <definedName name="Initiative3_Year_when_LV_Mapping_functionality_available">'Benefit Input Pars'!#REF!</definedName>
    <definedName name="Initiative4_Number_of_customers_impacted_per_transformer">'Benefit Input Pars'!#REF!</definedName>
    <definedName name="Initiative4_Number_of_Distribution_substation_transformers_that_fail_each_year">'Benefit Input Pars'!#REF!</definedName>
    <definedName name="Initiative4_Option_2_Percentage_which_could_be_replaced_just_before_fail__avoid_outage">'Benefit Input Pars'!#REF!</definedName>
    <definedName name="Initiative4_Option1_Percentage_which_could_be_replaced_just_before_fail__avoid_outage">'Benefit Input Pars'!#REF!</definedName>
    <definedName name="Initiative4_Percentage_that_could_be_avoided_with_Option_2_active_monitoring___maintenance_before_failure">'Benefit Input Pars'!#REF!</definedName>
    <definedName name="Initiative4_Percentage_that_could_be_avoided_with_Option1_active_monitoring">'Benefit Input Pars'!#REF!</definedName>
    <definedName name="Initiative4_Time_off_supply_for_planned_replacment_of_transformer">'Benefit Input Pars'!#REF!</definedName>
    <definedName name="Initiative4_Time_off_Supply_for_unplanned_replacement_of_transformer">'Benefit Input Pars'!#REF!</definedName>
    <definedName name="Initiative4_Value_of_depreciated_transformers">'Benefit Input Pars'!#REF!</definedName>
    <definedName name="Initiative4_Year_when_Option_1_Delivers_Distribution_Substation_Conditon_Monitoring_Benefit">'Benefit Input Pars'!#REF!</definedName>
    <definedName name="Initiative4_Year_when_Option_2_Delivers_Distribution_Substation_Condition_Monitoring_Benefit">'Benefit Input Pars'!#REF!</definedName>
    <definedName name="Initiative4_Year_when_Option_2_Theft_Detection_Available">'Benefit Input Pars'!$B$34</definedName>
    <definedName name="Initiative4_Year_when_Option_2_UMS_Unrecording_Available">'Benefit Input Pars'!$B$39</definedName>
    <definedName name="Initiative5_Average_Load_Factor_at_Substations_with_Poor_Power_Factor">'Benefit Input Pars'!#REF!</definedName>
    <definedName name="Initiative5_Average_Peak_power_factor_at_substations_with_Poor_Power_Factor">'Benefit Input Pars'!#REF!</definedName>
    <definedName name="Initiative5_Improvement_in_average_Power_Factor_at_substations_with_Poor_load_factor">'Benefit Input Pars'!#REF!</definedName>
    <definedName name="Initiative5_Improvement_in_peak_power_factor_at_substations_with_poor_load_factor">'Benefit Input Pars'!#REF!</definedName>
    <definedName name="Initiative5_Percentage_of_MVA_Reduction_that_is_useful">'Benefit Input Pars'!#REF!</definedName>
    <definedName name="Initiative5_Percentage_of_Networks_fitted_with_Volt_Var_Control_devices">'Benefit Input Pars'!#REF!</definedName>
    <definedName name="Initiative5_VPN_Technical_Losses">'Benefit Input Pars'!#REF!</definedName>
    <definedName name="Initiative5_Year_when_power_factor_improvement_introduced">'Benefit Input Pars'!#REF!</definedName>
    <definedName name="Initiative5_Years_before_deferment_useful">'Benefit Input Pars'!#REF!</definedName>
    <definedName name="Initiative6_Percentage_of_electricity_that_is_UMS_underrecording">'Benefit Input Pars'!$B$37</definedName>
    <definedName name="Initiative6_Percentage_of_Energy_Theft_in_Victoria">'Benefit Input Pars'!$B$30</definedName>
    <definedName name="Initiative6_Percentage_theft_reduction_with_Flex_Grid_Option_1">'Benefit Input Pars'!$B$31</definedName>
    <definedName name="Initiative6_Percentage_theft_reduction_with_Flex_Grid_Option_2">'Benefit Input Pars'!$B$33</definedName>
    <definedName name="Initiative6_Percentage_unrecorded_UMS_reduction_with_Flex_Grid_Option_1">'Benefit Input Pars'!#REF!</definedName>
    <definedName name="Initiative6_Percentage_unrecorded_UMS_reduction_with_Flex_Grid_Option_2">'Benefit Input Pars'!$B$38</definedName>
    <definedName name="Initiative6_Value_per_KWH_saved">'Benefit Input Pars'!$B$29</definedName>
    <definedName name="Initiative6_Year_when_Option_1_Theft_Detection_Available">'Benefit Input Pars'!$B$32</definedName>
    <definedName name="Initiative6_Year_when_Option_1_UMS_Unrecording_Available">'Benefit Input Pars'!#REF!</definedName>
    <definedName name="Initiative6_Year_when_Option_2_Theft_Detection_Available">'Benefit Input Pars'!$B$34</definedName>
    <definedName name="Initiative6_Year_when_Option_2_UMS_Unrecording_Available">'Benefit Input Pars'!$B$39</definedName>
    <definedName name="Initiative7_Annual_Equivalent_Savings_available_from_Commencement_of_a_VPN_Summer_Saver_Program_for_Option_1">'Benefit Input Pars'!$B$43</definedName>
    <definedName name="Initiative7_Year_when_Flexible_Grid_Network_available_for_Summer_Saver_Program_for__VPN_with_Option_1">'Benefit Input Pars'!$B$42</definedName>
    <definedName name="Initiative8_Average_charging_levels_of_Evs">'Benefit Input Pars'!$B$50</definedName>
    <definedName name="Initiative8_Percentage_of_Commercial_Charging_infrastructure_charging_at_peak_with_Flexible_Grids">'Benefit Input Pars'!$B$57</definedName>
    <definedName name="Initiative8_Percentage_of_Commercial_Charging_infrastructure_charging_at_peak_without_Flexible_Grids">'Benefit Input Pars'!#REF!</definedName>
    <definedName name="Initiative8_Percentage_of_Evs_charging_at_peak_with_Option_1_Flexible_Grid_Control">'Benefit Input Pars'!$B$51</definedName>
    <definedName name="Initiative8_Percentage_of_Evs_charging_at_peak_with_TOU_tariff_and_BAU_Control">'Benefit Input Pars'!#REF!</definedName>
    <definedName name="Initiative8_Percentage_of_Public_Charging_Infrastructure_Charging_at_Peak_without_Flexible_Grids">'Benefit Input Pars'!#REF!</definedName>
    <definedName name="Initiative8_Percentage_of_Publilc_charging_Infrastructure_Charging_at_Peak_with_Flexible_Grids">'Benefit Input Pars'!$B$59</definedName>
    <definedName name="Initiative8_Year_when_Option_1_Flexible_Charging_for_Residential_Evs_available">'Benefit Input Pars'!$B$53</definedName>
    <definedName name="Initiative8_Year_when_Option_2_Flexible_Charging_for_Commercial_Infrastructure_available">'Benefit Input Pars'!$B$55</definedName>
    <definedName name="Initiative8_Year_when_Option_2_Flexible_Charging_for_Public_Charging_Infrastructure_available">'Benefit Input Pars'!$B$54</definedName>
    <definedName name="Initiative9_Annual_Number_of_Customers_per_year_that_have_load_control_devices_fitted">'Benefit Input Pars'!$B$62</definedName>
    <definedName name="Initiative9_Average_Annual_Expenditure_on_Demand_Augmentation">'Benefit Input Pars'!$B$75</definedName>
    <definedName name="Initiative9_Average_annual_kWh_now_useful">'Benefit Input Pars'!$B$68</definedName>
    <definedName name="Initiative9_Average_kVA_saved_per_customer">'Benefit Input Pars'!$B$64</definedName>
    <definedName name="Initiative9_Avoided_wholesale_cost_of_KWh">'Benefit Input Pars'!$B$69</definedName>
    <definedName name="Initiative9_Cost_of_Hot_Water_Control_Electicity">'Benefit Input Pars'!$B$81</definedName>
    <definedName name="Initiative9_Feed_in_Tariff_Revenue">'Benefit Input Pars'!$B$82</definedName>
    <definedName name="Initiative9_Initial_number_of_solar_customers_that_are_export_constrained_where_VPN_use_Flexible_Grid_to_control_chargin">'Benefit Input Pars'!$B$66</definedName>
    <definedName name="Initiative9_Number_of_hot_Water_Customers_shifted_to_Solar_with_VPN_Control">'Benefit Input Pars'!$B$83</definedName>
    <definedName name="initiative9_Percent_that_is_useful">'Benefit Input Pars'!#REF!</definedName>
    <definedName name="Initiative9_Percentage_Permanently_Avoided_from_Option_1_Load_Monitoring__control_and_Augmentation">'Benefit Input Pars'!$B$76</definedName>
    <definedName name="Initiative9_Percentage_Permanently_Avoided_from_Option_2_Load_Monitoring__control_and_Augmentation">'Benefit Input Pars'!$B$77</definedName>
    <definedName name="Initiative9_Year_when_Hot_Water_and_Solar_load_control_program_begins">'Benefit Input Pars'!$B$70</definedName>
    <definedName name="Initiative9_Year_when_Option_1_Customer_Load_Monitoring_and_Optimisation_Available">'Benefit Input Pars'!$B$65</definedName>
    <definedName name="Initiative9_Year_when_Option_2_Customer_Load_Monitoring_and_Optimisation_Available">'Benefit Input Pars'!#REF!</definedName>
    <definedName name="Initiative9_Years_before_reduction_is_useful">'Benefit Input Pars'!#REF!</definedName>
    <definedName name="LRMC___KVA">'Benefit Input Pars'!#REF!</definedName>
    <definedName name="Million">'Benefit Input Pars'!$B$11</definedName>
    <definedName name="Option2_scale">'Device Cost Input'!$F$21</definedName>
    <definedName name="Peak_Network_Demand">'Benefit Input Pars'!$B$9</definedName>
    <definedName name="Project_Assessment_Period">'Benefit Input Pars'!$B$7</definedName>
    <definedName name="Project_Complete_Year">'Device Cost Input'!$C$62</definedName>
    <definedName name="Real_Discount_Rate">'Benefit Input Pars'!$B$6</definedName>
    <definedName name="Value_of_Customer_reliability">'Benefit Input Pars'!#REF!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55" i="11" l="1"/>
  <c r="I155" i="11"/>
  <c r="J155" i="11"/>
  <c r="K155" i="11"/>
  <c r="L155" i="11"/>
  <c r="M155" i="11"/>
  <c r="N155" i="11"/>
  <c r="O155" i="11"/>
  <c r="P155" i="11"/>
  <c r="Q155" i="11"/>
  <c r="R155" i="11"/>
  <c r="S155" i="11"/>
  <c r="T155" i="11"/>
  <c r="U155" i="11"/>
  <c r="V155" i="11"/>
  <c r="W155" i="11"/>
  <c r="X155" i="11"/>
  <c r="Y155" i="11"/>
  <c r="Z155" i="11"/>
  <c r="H156" i="11"/>
  <c r="I156" i="11"/>
  <c r="J156" i="11"/>
  <c r="K156" i="11"/>
  <c r="L156" i="11"/>
  <c r="M156" i="11"/>
  <c r="N156" i="11"/>
  <c r="O156" i="11"/>
  <c r="P156" i="11"/>
  <c r="Q156" i="11"/>
  <c r="R156" i="11"/>
  <c r="S156" i="11"/>
  <c r="T156" i="11"/>
  <c r="U156" i="11"/>
  <c r="V156" i="11"/>
  <c r="W156" i="11"/>
  <c r="X156" i="11"/>
  <c r="Y156" i="11"/>
  <c r="Z156" i="11"/>
  <c r="H157" i="11"/>
  <c r="I157" i="11"/>
  <c r="J157" i="11"/>
  <c r="K157" i="11"/>
  <c r="L157" i="11"/>
  <c r="M157" i="11"/>
  <c r="N157" i="11"/>
  <c r="O157" i="11"/>
  <c r="P157" i="11"/>
  <c r="Q157" i="11"/>
  <c r="R157" i="11"/>
  <c r="S157" i="11"/>
  <c r="T157" i="11"/>
  <c r="U157" i="11"/>
  <c r="V157" i="11"/>
  <c r="W157" i="11"/>
  <c r="X157" i="11"/>
  <c r="Y157" i="11"/>
  <c r="Z157" i="11"/>
  <c r="H158" i="11"/>
  <c r="I158" i="11"/>
  <c r="J158" i="11"/>
  <c r="K158" i="11"/>
  <c r="L158" i="11"/>
  <c r="M158" i="11"/>
  <c r="N158" i="11"/>
  <c r="O158" i="11"/>
  <c r="P158" i="11"/>
  <c r="Q158" i="11"/>
  <c r="R158" i="11"/>
  <c r="S158" i="11"/>
  <c r="T158" i="11"/>
  <c r="U158" i="11"/>
  <c r="V158" i="11"/>
  <c r="W158" i="11"/>
  <c r="X158" i="11"/>
  <c r="Y158" i="11"/>
  <c r="Z158" i="11"/>
  <c r="H159" i="11"/>
  <c r="I159" i="11"/>
  <c r="J159" i="11"/>
  <c r="K159" i="11"/>
  <c r="L159" i="11"/>
  <c r="M159" i="11"/>
  <c r="N159" i="11"/>
  <c r="O159" i="11"/>
  <c r="P159" i="11"/>
  <c r="Q159" i="11"/>
  <c r="R159" i="11"/>
  <c r="S159" i="11"/>
  <c r="T159" i="11"/>
  <c r="U159" i="11"/>
  <c r="V159" i="11"/>
  <c r="W159" i="11"/>
  <c r="X159" i="11"/>
  <c r="Y159" i="11"/>
  <c r="Z159" i="11"/>
  <c r="H160" i="11"/>
  <c r="I160" i="11"/>
  <c r="J160" i="11"/>
  <c r="K160" i="11"/>
  <c r="L160" i="11"/>
  <c r="M160" i="11"/>
  <c r="N160" i="11"/>
  <c r="O160" i="11"/>
  <c r="P160" i="11"/>
  <c r="Q160" i="11"/>
  <c r="R160" i="11"/>
  <c r="S160" i="11"/>
  <c r="T160" i="11"/>
  <c r="U160" i="11"/>
  <c r="V160" i="11"/>
  <c r="W160" i="11"/>
  <c r="X160" i="11"/>
  <c r="Y160" i="11"/>
  <c r="Z160" i="11"/>
  <c r="G157" i="11"/>
  <c r="G155" i="11"/>
  <c r="H154" i="11"/>
  <c r="I154" i="11"/>
  <c r="J154" i="11"/>
  <c r="K154" i="11"/>
  <c r="L154" i="11"/>
  <c r="M154" i="11"/>
  <c r="N154" i="11"/>
  <c r="O154" i="11"/>
  <c r="P154" i="11"/>
  <c r="Q154" i="11"/>
  <c r="R154" i="11"/>
  <c r="S154" i="11"/>
  <c r="T154" i="11"/>
  <c r="U154" i="11"/>
  <c r="V154" i="11"/>
  <c r="W154" i="11"/>
  <c r="X154" i="11"/>
  <c r="Y154" i="11"/>
  <c r="Z154" i="11"/>
  <c r="G160" i="11"/>
  <c r="G159" i="11"/>
  <c r="G158" i="11"/>
  <c r="G156" i="11"/>
  <c r="H56" i="11"/>
  <c r="I56" i="11"/>
  <c r="J56" i="11"/>
  <c r="K56" i="11"/>
  <c r="L56" i="11"/>
  <c r="M56" i="11"/>
  <c r="N56" i="11"/>
  <c r="O56" i="11"/>
  <c r="P56" i="11"/>
  <c r="Q56" i="11"/>
  <c r="R56" i="11"/>
  <c r="S56" i="11"/>
  <c r="T56" i="11"/>
  <c r="U56" i="11"/>
  <c r="V56" i="11"/>
  <c r="W56" i="11"/>
  <c r="X56" i="11"/>
  <c r="Y56" i="11"/>
  <c r="Z56" i="11"/>
  <c r="H57" i="11"/>
  <c r="I57" i="11"/>
  <c r="J57" i="11"/>
  <c r="K57" i="11"/>
  <c r="L57" i="11"/>
  <c r="M57" i="11"/>
  <c r="N57" i="11"/>
  <c r="O57" i="11"/>
  <c r="P57" i="11"/>
  <c r="Q57" i="11"/>
  <c r="R57" i="11"/>
  <c r="S57" i="11"/>
  <c r="T57" i="11"/>
  <c r="U57" i="11"/>
  <c r="V57" i="11"/>
  <c r="W57" i="11"/>
  <c r="X57" i="11"/>
  <c r="Y57" i="11"/>
  <c r="Z57" i="11"/>
  <c r="H58" i="11"/>
  <c r="I58" i="11"/>
  <c r="J58" i="11"/>
  <c r="K58" i="11"/>
  <c r="L58" i="11"/>
  <c r="M58" i="11"/>
  <c r="N58" i="11"/>
  <c r="O58" i="11"/>
  <c r="P58" i="11"/>
  <c r="Q58" i="11"/>
  <c r="R58" i="11"/>
  <c r="S58" i="11"/>
  <c r="T58" i="11"/>
  <c r="U58" i="11"/>
  <c r="V58" i="11"/>
  <c r="W58" i="11"/>
  <c r="X58" i="11"/>
  <c r="Y58" i="11"/>
  <c r="Z58" i="11"/>
  <c r="H59" i="11"/>
  <c r="I59" i="11"/>
  <c r="J59" i="11"/>
  <c r="K59" i="11"/>
  <c r="L59" i="11"/>
  <c r="M59" i="11"/>
  <c r="N59" i="11"/>
  <c r="O59" i="11"/>
  <c r="P59" i="11"/>
  <c r="Q59" i="11"/>
  <c r="R59" i="11"/>
  <c r="S59" i="11"/>
  <c r="T59" i="11"/>
  <c r="U59" i="11"/>
  <c r="V59" i="11"/>
  <c r="W59" i="11"/>
  <c r="X59" i="11"/>
  <c r="Y59" i="11"/>
  <c r="Z59" i="11"/>
  <c r="H60" i="11"/>
  <c r="I60" i="11"/>
  <c r="J60" i="11"/>
  <c r="K60" i="11"/>
  <c r="L60" i="11"/>
  <c r="M60" i="11"/>
  <c r="N60" i="11"/>
  <c r="O60" i="11"/>
  <c r="P60" i="11"/>
  <c r="Q60" i="11"/>
  <c r="R60" i="11"/>
  <c r="S60" i="11"/>
  <c r="T60" i="11"/>
  <c r="U60" i="11"/>
  <c r="V60" i="11"/>
  <c r="W60" i="11"/>
  <c r="X60" i="11"/>
  <c r="Y60" i="11"/>
  <c r="Z60" i="11"/>
  <c r="G60" i="11"/>
  <c r="G59" i="11"/>
  <c r="G58" i="11"/>
  <c r="G57" i="11"/>
  <c r="G56" i="11"/>
  <c r="P55" i="11"/>
  <c r="Q55" i="11"/>
  <c r="R55" i="11"/>
  <c r="S55" i="11"/>
  <c r="T55" i="11"/>
  <c r="U55" i="11"/>
  <c r="V55" i="11"/>
  <c r="W55" i="11"/>
  <c r="X55" i="11"/>
  <c r="Y55" i="11"/>
  <c r="Z55" i="11"/>
  <c r="H55" i="11"/>
  <c r="I55" i="11"/>
  <c r="J55" i="11"/>
  <c r="K55" i="11"/>
  <c r="L55" i="11"/>
  <c r="M55" i="11"/>
  <c r="N55" i="11"/>
  <c r="O55" i="11"/>
  <c r="G55" i="11"/>
  <c r="Y95" i="2"/>
  <c r="X95" i="2"/>
  <c r="W95" i="2"/>
  <c r="V95" i="2"/>
  <c r="U95" i="2"/>
  <c r="T95" i="2"/>
  <c r="S95" i="2"/>
  <c r="R95" i="2"/>
  <c r="Q95" i="2"/>
  <c r="P95" i="2"/>
  <c r="O95" i="2"/>
  <c r="N95" i="2"/>
  <c r="M95" i="2"/>
  <c r="L95" i="2"/>
  <c r="K95" i="2"/>
  <c r="J95" i="2"/>
  <c r="I95" i="2"/>
  <c r="H95" i="2"/>
  <c r="G95" i="2"/>
  <c r="F95" i="2"/>
  <c r="G91" i="2"/>
  <c r="H91" i="2"/>
  <c r="I91" i="2"/>
  <c r="J91" i="2"/>
  <c r="K91" i="2"/>
  <c r="L91" i="2"/>
  <c r="M91" i="2"/>
  <c r="N91" i="2"/>
  <c r="O91" i="2"/>
  <c r="P91" i="2"/>
  <c r="Q91" i="2"/>
  <c r="R91" i="2"/>
  <c r="S91" i="2"/>
  <c r="T91" i="2"/>
  <c r="U91" i="2"/>
  <c r="V91" i="2"/>
  <c r="W91" i="2"/>
  <c r="X91" i="2"/>
  <c r="Y91" i="2"/>
  <c r="F91" i="2"/>
  <c r="G82" i="2"/>
  <c r="H82" i="2"/>
  <c r="I82" i="2"/>
  <c r="J82" i="2"/>
  <c r="K82" i="2"/>
  <c r="L82" i="2"/>
  <c r="M82" i="2"/>
  <c r="N82" i="2"/>
  <c r="O82" i="2"/>
  <c r="P82" i="2"/>
  <c r="Q82" i="2"/>
  <c r="R82" i="2"/>
  <c r="S82" i="2"/>
  <c r="T82" i="2"/>
  <c r="U82" i="2"/>
  <c r="V82" i="2"/>
  <c r="W82" i="2"/>
  <c r="X82" i="2"/>
  <c r="Y82" i="2"/>
  <c r="F82" i="2"/>
  <c r="G74" i="2"/>
  <c r="H74" i="2"/>
  <c r="I74" i="2"/>
  <c r="J74" i="2"/>
  <c r="K74" i="2"/>
  <c r="L74" i="2"/>
  <c r="M74" i="2"/>
  <c r="N74" i="2"/>
  <c r="O74" i="2"/>
  <c r="P74" i="2"/>
  <c r="Q74" i="2"/>
  <c r="R74" i="2"/>
  <c r="S74" i="2"/>
  <c r="T74" i="2"/>
  <c r="U74" i="2"/>
  <c r="V74" i="2"/>
  <c r="W74" i="2"/>
  <c r="X74" i="2"/>
  <c r="Y74" i="2"/>
  <c r="F74" i="2"/>
  <c r="Y69" i="2"/>
  <c r="X69" i="2"/>
  <c r="W69" i="2"/>
  <c r="V69" i="2"/>
  <c r="U69" i="2"/>
  <c r="T69" i="2"/>
  <c r="S69" i="2"/>
  <c r="R69" i="2"/>
  <c r="Q69" i="2"/>
  <c r="P69" i="2"/>
  <c r="O69" i="2"/>
  <c r="N69" i="2"/>
  <c r="M69" i="2"/>
  <c r="L69" i="2"/>
  <c r="K69" i="2"/>
  <c r="J69" i="2"/>
  <c r="I69" i="2"/>
  <c r="H69" i="2"/>
  <c r="G69" i="2"/>
  <c r="F69" i="2"/>
  <c r="G39" i="2"/>
  <c r="H39" i="2"/>
  <c r="I39" i="2"/>
  <c r="J39" i="2"/>
  <c r="K39" i="2"/>
  <c r="L39" i="2"/>
  <c r="M39" i="2"/>
  <c r="N39" i="2"/>
  <c r="O39" i="2"/>
  <c r="P39" i="2"/>
  <c r="Q39" i="2"/>
  <c r="R39" i="2"/>
  <c r="S39" i="2"/>
  <c r="T39" i="2"/>
  <c r="U39" i="2"/>
  <c r="V39" i="2"/>
  <c r="W39" i="2"/>
  <c r="X39" i="2"/>
  <c r="Y39" i="2"/>
  <c r="F39" i="2"/>
  <c r="G35" i="2"/>
  <c r="H35" i="2"/>
  <c r="I35" i="2"/>
  <c r="J35" i="2"/>
  <c r="K35" i="2"/>
  <c r="L35" i="2"/>
  <c r="M35" i="2"/>
  <c r="N35" i="2"/>
  <c r="O35" i="2"/>
  <c r="P35" i="2"/>
  <c r="Q35" i="2"/>
  <c r="R35" i="2"/>
  <c r="S35" i="2"/>
  <c r="T35" i="2"/>
  <c r="U35" i="2"/>
  <c r="V35" i="2"/>
  <c r="W35" i="2"/>
  <c r="X35" i="2"/>
  <c r="Y35" i="2"/>
  <c r="F35" i="2"/>
  <c r="Y27" i="2"/>
  <c r="X27" i="2"/>
  <c r="W27" i="2"/>
  <c r="V27" i="2"/>
  <c r="U27" i="2"/>
  <c r="T27" i="2"/>
  <c r="S27" i="2"/>
  <c r="R27" i="2"/>
  <c r="Q27" i="2"/>
  <c r="P27" i="2"/>
  <c r="O27" i="2"/>
  <c r="N27" i="2"/>
  <c r="M27" i="2"/>
  <c r="L27" i="2"/>
  <c r="K27" i="2"/>
  <c r="J27" i="2"/>
  <c r="I27" i="2"/>
  <c r="H27" i="2"/>
  <c r="G27" i="2"/>
  <c r="F27" i="2"/>
  <c r="F60" i="2" l="1"/>
  <c r="G40" i="11" l="1"/>
  <c r="A27" i="11"/>
  <c r="A28" i="11"/>
  <c r="A29" i="11"/>
  <c r="A30" i="11"/>
  <c r="A31" i="11"/>
  <c r="A32" i="11"/>
  <c r="A33" i="11"/>
  <c r="A34" i="11"/>
  <c r="A35" i="11"/>
  <c r="A36" i="11"/>
  <c r="A26" i="11"/>
  <c r="A13" i="11"/>
  <c r="A14" i="11"/>
  <c r="A15" i="11"/>
  <c r="A16" i="11"/>
  <c r="A17" i="11"/>
  <c r="A18" i="11"/>
  <c r="A19" i="11"/>
  <c r="A20" i="11"/>
  <c r="A21" i="11"/>
  <c r="A22" i="11"/>
  <c r="A12" i="11"/>
  <c r="F19" i="2" l="1"/>
  <c r="C128" i="11" l="1"/>
  <c r="C135" i="11"/>
  <c r="C150" i="11"/>
  <c r="C161" i="11"/>
  <c r="C109" i="11"/>
  <c r="C95" i="11"/>
  <c r="C81" i="11"/>
  <c r="C61" i="11"/>
  <c r="C51" i="11"/>
  <c r="C37" i="11"/>
  <c r="C23" i="11"/>
  <c r="J22" i="10" l="1"/>
  <c r="I22" i="10"/>
  <c r="G134" i="11" l="1"/>
  <c r="C8" i="12"/>
  <c r="A21" i="2" l="1"/>
  <c r="A62" i="2" s="1"/>
  <c r="A30" i="2"/>
  <c r="A84" i="2" s="1"/>
  <c r="A17" i="2"/>
  <c r="A58" i="2" s="1"/>
  <c r="A12" i="2"/>
  <c r="A50" i="2" s="1"/>
  <c r="G54" i="11"/>
  <c r="E22" i="3" l="1"/>
  <c r="F22" i="3"/>
  <c r="G22" i="3"/>
  <c r="H22" i="3"/>
  <c r="I22" i="3"/>
  <c r="J22" i="3"/>
  <c r="K22" i="3"/>
  <c r="L22" i="3"/>
  <c r="M22" i="3"/>
  <c r="N22" i="3"/>
  <c r="O22" i="3"/>
  <c r="P22" i="3"/>
  <c r="Q22" i="3"/>
  <c r="R22" i="3"/>
  <c r="S22" i="3"/>
  <c r="T22" i="3"/>
  <c r="U22" i="3"/>
  <c r="V22" i="3"/>
  <c r="W22" i="3"/>
  <c r="D22" i="3"/>
  <c r="B14" i="1" l="1"/>
  <c r="B13" i="1"/>
  <c r="B12" i="1"/>
  <c r="C16" i="3" l="1"/>
  <c r="C15" i="3"/>
  <c r="E16" i="3" l="1"/>
  <c r="I16" i="3"/>
  <c r="M16" i="3"/>
  <c r="Q16" i="3"/>
  <c r="U16" i="3"/>
  <c r="F16" i="3"/>
  <c r="J16" i="3"/>
  <c r="N16" i="3"/>
  <c r="R16" i="3"/>
  <c r="V16" i="3"/>
  <c r="G16" i="3"/>
  <c r="K16" i="3"/>
  <c r="O16" i="3"/>
  <c r="S16" i="3"/>
  <c r="W16" i="3"/>
  <c r="H16" i="3"/>
  <c r="L16" i="3"/>
  <c r="P16" i="3"/>
  <c r="T16" i="3"/>
  <c r="D16" i="3"/>
  <c r="E15" i="3"/>
  <c r="I15" i="3"/>
  <c r="M15" i="3"/>
  <c r="Q15" i="3"/>
  <c r="U15" i="3"/>
  <c r="F15" i="3"/>
  <c r="J15" i="3"/>
  <c r="N15" i="3"/>
  <c r="R15" i="3"/>
  <c r="V15" i="3"/>
  <c r="G15" i="3"/>
  <c r="K15" i="3"/>
  <c r="O15" i="3"/>
  <c r="S15" i="3"/>
  <c r="W15" i="3"/>
  <c r="W7" i="3" s="1"/>
  <c r="Y24" i="2" s="1"/>
  <c r="H15" i="3"/>
  <c r="L15" i="3"/>
  <c r="P15" i="3"/>
  <c r="T15" i="3"/>
  <c r="D15" i="3"/>
  <c r="F55" i="2"/>
  <c r="F15" i="2" l="1"/>
  <c r="F18" i="2"/>
  <c r="C4" i="12"/>
  <c r="D4" i="12"/>
  <c r="F19" i="12"/>
  <c r="C16" i="12"/>
  <c r="C14" i="12"/>
  <c r="C12" i="12"/>
  <c r="C10" i="12"/>
  <c r="C6" i="12"/>
  <c r="D12" i="12" l="1"/>
  <c r="D10" i="12"/>
  <c r="I2" i="12"/>
  <c r="G2" i="12"/>
  <c r="D20" i="12" l="1"/>
  <c r="L8" i="12"/>
  <c r="P8" i="12"/>
  <c r="T8" i="12"/>
  <c r="X8" i="12"/>
  <c r="J8" i="12"/>
  <c r="N8" i="12"/>
  <c r="V8" i="12"/>
  <c r="Z8" i="12"/>
  <c r="K8" i="12"/>
  <c r="O8" i="12"/>
  <c r="S8" i="12"/>
  <c r="W8" i="12"/>
  <c r="AA8" i="12"/>
  <c r="M8" i="12"/>
  <c r="Q8" i="12"/>
  <c r="U8" i="12"/>
  <c r="Y8" i="12"/>
  <c r="H8" i="12"/>
  <c r="G122" i="11" s="1"/>
  <c r="R8" i="12"/>
  <c r="I8" i="12"/>
  <c r="U12" i="12"/>
  <c r="Y6" i="12"/>
  <c r="Q6" i="12"/>
  <c r="I6" i="12"/>
  <c r="K10" i="12"/>
  <c r="S10" i="12"/>
  <c r="AA10" i="12"/>
  <c r="H12" i="12"/>
  <c r="H13" i="12" s="1"/>
  <c r="P12" i="12"/>
  <c r="X12" i="12"/>
  <c r="X6" i="12"/>
  <c r="P6" i="12"/>
  <c r="H7" i="12"/>
  <c r="N10" i="12"/>
  <c r="V10" i="12"/>
  <c r="I12" i="12"/>
  <c r="Q12" i="12"/>
  <c r="Y12" i="12"/>
  <c r="H6" i="12"/>
  <c r="U6" i="12"/>
  <c r="M6" i="12"/>
  <c r="O10" i="12"/>
  <c r="W10" i="12"/>
  <c r="L12" i="12"/>
  <c r="T12" i="12"/>
  <c r="T6" i="12"/>
  <c r="L6" i="12"/>
  <c r="J10" i="12"/>
  <c r="R10" i="12"/>
  <c r="Z10" i="12"/>
  <c r="M12" i="12"/>
  <c r="J14" i="12"/>
  <c r="N14" i="12"/>
  <c r="R14" i="12"/>
  <c r="V14" i="12"/>
  <c r="Z14" i="12"/>
  <c r="J16" i="12"/>
  <c r="N16" i="12"/>
  <c r="R16" i="12"/>
  <c r="V16" i="12"/>
  <c r="Z16" i="12"/>
  <c r="H14" i="12"/>
  <c r="K14" i="12"/>
  <c r="O14" i="12"/>
  <c r="S14" i="12"/>
  <c r="W14" i="12"/>
  <c r="AA14" i="12"/>
  <c r="K16" i="12"/>
  <c r="O16" i="12"/>
  <c r="N131" i="11" s="1"/>
  <c r="S16" i="12"/>
  <c r="W16" i="12"/>
  <c r="AA16" i="12"/>
  <c r="H17" i="12"/>
  <c r="G132" i="11" s="1"/>
  <c r="G135" i="11" s="1"/>
  <c r="L14" i="12"/>
  <c r="P14" i="12"/>
  <c r="T14" i="12"/>
  <c r="X14" i="12"/>
  <c r="M14" i="12"/>
  <c r="M16" i="12"/>
  <c r="U16" i="12"/>
  <c r="H15" i="12"/>
  <c r="Q14" i="12"/>
  <c r="P16" i="12"/>
  <c r="X16" i="12"/>
  <c r="U14" i="12"/>
  <c r="I16" i="12"/>
  <c r="Q16" i="12"/>
  <c r="Y16" i="12"/>
  <c r="I14" i="12"/>
  <c r="Y14" i="12"/>
  <c r="L16" i="12"/>
  <c r="T16" i="12"/>
  <c r="H16" i="12"/>
  <c r="AA6" i="12"/>
  <c r="W6" i="12"/>
  <c r="S6" i="12"/>
  <c r="O6" i="12"/>
  <c r="K6" i="12"/>
  <c r="H10" i="12"/>
  <c r="H11" i="12" s="1"/>
  <c r="G126" i="11" s="1"/>
  <c r="L10" i="12"/>
  <c r="P10" i="12"/>
  <c r="T10" i="12"/>
  <c r="X10" i="12"/>
  <c r="J12" i="12"/>
  <c r="N12" i="12"/>
  <c r="R12" i="12"/>
  <c r="V12" i="12"/>
  <c r="Z12" i="12"/>
  <c r="Z6" i="12"/>
  <c r="V6" i="12"/>
  <c r="R6" i="12"/>
  <c r="N6" i="12"/>
  <c r="J6" i="12"/>
  <c r="I10" i="12"/>
  <c r="M10" i="12"/>
  <c r="M11" i="12" s="1"/>
  <c r="L126" i="11" s="1"/>
  <c r="Q10" i="12"/>
  <c r="U10" i="12"/>
  <c r="Y10" i="12"/>
  <c r="K12" i="12"/>
  <c r="O12" i="12"/>
  <c r="S12" i="12"/>
  <c r="W12" i="12"/>
  <c r="AA12" i="12"/>
  <c r="O4" i="12"/>
  <c r="W4" i="12"/>
  <c r="I4" i="12"/>
  <c r="S4" i="12"/>
  <c r="AA4" i="12"/>
  <c r="Z4" i="12"/>
  <c r="V4" i="12"/>
  <c r="R4" i="12"/>
  <c r="N4" i="12"/>
  <c r="Y4" i="12"/>
  <c r="U4" i="12"/>
  <c r="Q4" i="12"/>
  <c r="X4" i="12"/>
  <c r="T4" i="12"/>
  <c r="P4" i="12"/>
  <c r="L4" i="12"/>
  <c r="K4" i="12"/>
  <c r="H4" i="12"/>
  <c r="H5" i="12" s="1"/>
  <c r="J4" i="12"/>
  <c r="M4" i="12"/>
  <c r="M9" i="12" l="1"/>
  <c r="L123" i="11" s="1"/>
  <c r="L122" i="11"/>
  <c r="O9" i="12"/>
  <c r="N123" i="11" s="1"/>
  <c r="N122" i="11"/>
  <c r="N9" i="12"/>
  <c r="M123" i="11" s="1"/>
  <c r="M122" i="11"/>
  <c r="T9" i="12"/>
  <c r="S123" i="11" s="1"/>
  <c r="S122" i="11"/>
  <c r="Y9" i="12"/>
  <c r="X123" i="11" s="1"/>
  <c r="X122" i="11"/>
  <c r="AA9" i="12"/>
  <c r="Z123" i="11" s="1"/>
  <c r="Z122" i="11"/>
  <c r="K9" i="12"/>
  <c r="J123" i="11" s="1"/>
  <c r="J122" i="11"/>
  <c r="J9" i="12"/>
  <c r="I123" i="11" s="1"/>
  <c r="I122" i="11"/>
  <c r="P9" i="12"/>
  <c r="O123" i="11" s="1"/>
  <c r="O122" i="11"/>
  <c r="I9" i="12"/>
  <c r="H123" i="11" s="1"/>
  <c r="H122" i="11"/>
  <c r="U9" i="12"/>
  <c r="T123" i="11" s="1"/>
  <c r="T122" i="11"/>
  <c r="W9" i="12"/>
  <c r="V123" i="11" s="1"/>
  <c r="V122" i="11"/>
  <c r="Z9" i="12"/>
  <c r="Y123" i="11" s="1"/>
  <c r="Y122" i="11"/>
  <c r="L9" i="12"/>
  <c r="K123" i="11" s="1"/>
  <c r="K122" i="11"/>
  <c r="R9" i="12"/>
  <c r="Q123" i="11" s="1"/>
  <c r="Q122" i="11"/>
  <c r="Q9" i="12"/>
  <c r="P123" i="11" s="1"/>
  <c r="P122" i="11"/>
  <c r="S9" i="12"/>
  <c r="R123" i="11" s="1"/>
  <c r="R122" i="11"/>
  <c r="V9" i="12"/>
  <c r="U123" i="11" s="1"/>
  <c r="U122" i="11"/>
  <c r="X9" i="12"/>
  <c r="W123" i="11" s="1"/>
  <c r="W122" i="11"/>
  <c r="H9" i="12"/>
  <c r="G123" i="11" s="1"/>
  <c r="E10" i="12"/>
  <c r="E14" i="12"/>
  <c r="G131" i="11"/>
  <c r="E16" i="12"/>
  <c r="E8" i="12"/>
  <c r="E12" i="12"/>
  <c r="E4" i="12"/>
  <c r="E6" i="12"/>
  <c r="V19" i="12"/>
  <c r="T87" i="2" s="1"/>
  <c r="V21" i="12"/>
  <c r="V20" i="12"/>
  <c r="R19" i="12"/>
  <c r="P87" i="2" s="1"/>
  <c r="R21" i="12"/>
  <c r="R20" i="12"/>
  <c r="R119" i="11"/>
  <c r="S19" i="12"/>
  <c r="Q87" i="2" s="1"/>
  <c r="S21" i="12"/>
  <c r="S20" i="12"/>
  <c r="N19" i="12"/>
  <c r="L87" i="2" s="1"/>
  <c r="N21" i="12"/>
  <c r="N20" i="12"/>
  <c r="G120" i="11"/>
  <c r="M21" i="12"/>
  <c r="M20" i="12"/>
  <c r="M19" i="12"/>
  <c r="K87" i="2" s="1"/>
  <c r="T20" i="12"/>
  <c r="T19" i="12"/>
  <c r="R87" i="2" s="1"/>
  <c r="T21" i="12"/>
  <c r="Y21" i="12"/>
  <c r="Y20" i="12"/>
  <c r="Y19" i="12"/>
  <c r="W87" i="2" s="1"/>
  <c r="X20" i="12"/>
  <c r="X19" i="12"/>
  <c r="V87" i="2" s="1"/>
  <c r="X21" i="12"/>
  <c r="K19" i="12"/>
  <c r="I87" i="2" s="1"/>
  <c r="K21" i="12"/>
  <c r="K20" i="12"/>
  <c r="I21" i="12"/>
  <c r="I20" i="12"/>
  <c r="I19" i="12"/>
  <c r="G87" i="2" s="1"/>
  <c r="V119" i="11"/>
  <c r="W19" i="12"/>
  <c r="U87" i="2" s="1"/>
  <c r="W21" i="12"/>
  <c r="W20" i="12"/>
  <c r="N119" i="11"/>
  <c r="O19" i="12"/>
  <c r="M87" i="2" s="1"/>
  <c r="O21" i="12"/>
  <c r="O20" i="12"/>
  <c r="Z19" i="12"/>
  <c r="X87" i="2" s="1"/>
  <c r="Z21" i="12"/>
  <c r="Z20" i="12"/>
  <c r="J19" i="12"/>
  <c r="H87" i="2" s="1"/>
  <c r="J21" i="12"/>
  <c r="J20" i="12"/>
  <c r="L20" i="12"/>
  <c r="L19" i="12"/>
  <c r="J87" i="2" s="1"/>
  <c r="L21" i="12"/>
  <c r="Q21" i="12"/>
  <c r="Q20" i="12"/>
  <c r="Q19" i="12"/>
  <c r="O87" i="2" s="1"/>
  <c r="P20" i="12"/>
  <c r="P19" i="12"/>
  <c r="N87" i="2" s="1"/>
  <c r="P21" i="12"/>
  <c r="T119" i="11"/>
  <c r="U21" i="12"/>
  <c r="U20" i="12"/>
  <c r="U19" i="12"/>
  <c r="S87" i="2" s="1"/>
  <c r="AA19" i="12"/>
  <c r="Y87" i="2" s="1"/>
  <c r="AA21" i="12"/>
  <c r="AA20" i="12"/>
  <c r="G119" i="11"/>
  <c r="G121" i="11" s="1"/>
  <c r="H21" i="12"/>
  <c r="H20" i="12"/>
  <c r="H19" i="12"/>
  <c r="G117" i="11"/>
  <c r="K116" i="11"/>
  <c r="G116" i="11"/>
  <c r="G118" i="11" s="1"/>
  <c r="L15" i="12"/>
  <c r="O13" i="12"/>
  <c r="N7" i="12"/>
  <c r="V7" i="12"/>
  <c r="W7" i="12"/>
  <c r="U7" i="12"/>
  <c r="P7" i="12"/>
  <c r="I7" i="12"/>
  <c r="L7" i="12"/>
  <c r="J7" i="12"/>
  <c r="Z7" i="12"/>
  <c r="K7" i="12"/>
  <c r="AA7" i="12"/>
  <c r="X7" i="12"/>
  <c r="Q7" i="12"/>
  <c r="O7" i="12"/>
  <c r="Y7" i="12"/>
  <c r="R7" i="12"/>
  <c r="S7" i="12"/>
  <c r="T7" i="12"/>
  <c r="M7" i="12"/>
  <c r="J113" i="11"/>
  <c r="L125" i="11"/>
  <c r="G125" i="11"/>
  <c r="G127" i="11" s="1"/>
  <c r="H113" i="11"/>
  <c r="W13" i="12"/>
  <c r="S13" i="12"/>
  <c r="U13" i="12"/>
  <c r="O17" i="12"/>
  <c r="N132" i="11" s="1"/>
  <c r="G113" i="11"/>
  <c r="G115" i="11" s="1"/>
  <c r="L113" i="11"/>
  <c r="T5" i="12"/>
  <c r="S113" i="11"/>
  <c r="U5" i="12"/>
  <c r="T113" i="11"/>
  <c r="V5" i="12"/>
  <c r="U113" i="11"/>
  <c r="Y11" i="12"/>
  <c r="X126" i="11" s="1"/>
  <c r="X125" i="11"/>
  <c r="I11" i="12"/>
  <c r="H126" i="11" s="1"/>
  <c r="H125" i="11"/>
  <c r="R13" i="12"/>
  <c r="Q119" i="11"/>
  <c r="X11" i="12"/>
  <c r="W126" i="11" s="1"/>
  <c r="W125" i="11"/>
  <c r="T17" i="12"/>
  <c r="S132" i="11" s="1"/>
  <c r="S131" i="11"/>
  <c r="Y17" i="12"/>
  <c r="X132" i="11" s="1"/>
  <c r="X131" i="11"/>
  <c r="S15" i="12"/>
  <c r="R116" i="11"/>
  <c r="R17" i="12"/>
  <c r="Q132" i="11" s="1"/>
  <c r="Q131" i="11"/>
  <c r="V15" i="12"/>
  <c r="U116" i="11"/>
  <c r="M13" i="12"/>
  <c r="L119" i="11"/>
  <c r="T13" i="12"/>
  <c r="S119" i="11"/>
  <c r="O11" i="12"/>
  <c r="N126" i="11" s="1"/>
  <c r="N125" i="11"/>
  <c r="Y13" i="12"/>
  <c r="X119" i="11"/>
  <c r="N11" i="12"/>
  <c r="M126" i="11" s="1"/>
  <c r="M125" i="11"/>
  <c r="X13" i="12"/>
  <c r="W119" i="11"/>
  <c r="S11" i="12"/>
  <c r="R126" i="11" s="1"/>
  <c r="R125" i="11"/>
  <c r="X5" i="12"/>
  <c r="W113" i="11"/>
  <c r="Y5" i="12"/>
  <c r="X113" i="11"/>
  <c r="Z5" i="12"/>
  <c r="Y113" i="11"/>
  <c r="W5" i="12"/>
  <c r="V113" i="11"/>
  <c r="U11" i="12"/>
  <c r="T126" i="11" s="1"/>
  <c r="T125" i="11"/>
  <c r="N13" i="12"/>
  <c r="M119" i="11"/>
  <c r="T11" i="12"/>
  <c r="S126" i="11" s="1"/>
  <c r="S125" i="11"/>
  <c r="L17" i="12"/>
  <c r="K132" i="11" s="1"/>
  <c r="K131" i="11"/>
  <c r="Q17" i="12"/>
  <c r="P132" i="11" s="1"/>
  <c r="P131" i="11"/>
  <c r="Q15" i="12"/>
  <c r="P116" i="11"/>
  <c r="U17" i="12"/>
  <c r="T132" i="11" s="1"/>
  <c r="T131" i="11"/>
  <c r="X15" i="12"/>
  <c r="W116" i="11"/>
  <c r="AA17" i="12"/>
  <c r="Z132" i="11" s="1"/>
  <c r="Z131" i="11"/>
  <c r="K17" i="12"/>
  <c r="J132" i="11" s="1"/>
  <c r="J131" i="11"/>
  <c r="O15" i="12"/>
  <c r="N116" i="11"/>
  <c r="N17" i="12"/>
  <c r="M132" i="11" s="1"/>
  <c r="M131" i="11"/>
  <c r="R15" i="12"/>
  <c r="Q116" i="11"/>
  <c r="Z11" i="12"/>
  <c r="Y126" i="11" s="1"/>
  <c r="Y125" i="11"/>
  <c r="L13" i="12"/>
  <c r="K119" i="11"/>
  <c r="Q13" i="12"/>
  <c r="P119" i="11"/>
  <c r="P13" i="12"/>
  <c r="O119" i="11"/>
  <c r="K11" i="12"/>
  <c r="J126" i="11" s="1"/>
  <c r="J125" i="11"/>
  <c r="G114" i="11"/>
  <c r="K113" i="11"/>
  <c r="N5" i="12"/>
  <c r="M113" i="11"/>
  <c r="AA5" i="12"/>
  <c r="Z113" i="11"/>
  <c r="O5" i="12"/>
  <c r="N113" i="11"/>
  <c r="AA13" i="12"/>
  <c r="Z119" i="11"/>
  <c r="K13" i="12"/>
  <c r="J119" i="11"/>
  <c r="Q11" i="12"/>
  <c r="P126" i="11" s="1"/>
  <c r="P125" i="11"/>
  <c r="Z13" i="12"/>
  <c r="Y119" i="11"/>
  <c r="J13" i="12"/>
  <c r="I119" i="11"/>
  <c r="P11" i="12"/>
  <c r="O126" i="11" s="1"/>
  <c r="O125" i="11"/>
  <c r="Y15" i="12"/>
  <c r="X116" i="11"/>
  <c r="I17" i="12"/>
  <c r="H132" i="11" s="1"/>
  <c r="H131" i="11"/>
  <c r="X17" i="12"/>
  <c r="W132" i="11" s="1"/>
  <c r="W131" i="11"/>
  <c r="M17" i="12"/>
  <c r="L132" i="11" s="1"/>
  <c r="L131" i="11"/>
  <c r="T15" i="12"/>
  <c r="S116" i="11"/>
  <c r="W17" i="12"/>
  <c r="V132" i="11" s="1"/>
  <c r="V131" i="11"/>
  <c r="AA15" i="12"/>
  <c r="Z116" i="11"/>
  <c r="K15" i="12"/>
  <c r="J116" i="11"/>
  <c r="Z17" i="12"/>
  <c r="Y132" i="11" s="1"/>
  <c r="Y131" i="11"/>
  <c r="J17" i="12"/>
  <c r="I132" i="11" s="1"/>
  <c r="I131" i="11"/>
  <c r="N15" i="12"/>
  <c r="M116" i="11"/>
  <c r="R11" i="12"/>
  <c r="Q126" i="11" s="1"/>
  <c r="Q125" i="11"/>
  <c r="I13" i="12"/>
  <c r="H119" i="11"/>
  <c r="I113" i="11"/>
  <c r="P5" i="12"/>
  <c r="O113" i="11"/>
  <c r="Q5" i="12"/>
  <c r="P113" i="11"/>
  <c r="R5" i="12"/>
  <c r="Q113" i="11"/>
  <c r="S5" i="12"/>
  <c r="R113" i="11"/>
  <c r="V13" i="12"/>
  <c r="U119" i="11"/>
  <c r="L11" i="12"/>
  <c r="K126" i="11" s="1"/>
  <c r="K125" i="11"/>
  <c r="I15" i="12"/>
  <c r="H116" i="11"/>
  <c r="U15" i="12"/>
  <c r="T116" i="11"/>
  <c r="P17" i="12"/>
  <c r="O132" i="11" s="1"/>
  <c r="O131" i="11"/>
  <c r="M15" i="12"/>
  <c r="L116" i="11"/>
  <c r="P15" i="12"/>
  <c r="O116" i="11"/>
  <c r="S17" i="12"/>
  <c r="R132" i="11" s="1"/>
  <c r="R131" i="11"/>
  <c r="W15" i="12"/>
  <c r="V116" i="11"/>
  <c r="V17" i="12"/>
  <c r="U132" i="11" s="1"/>
  <c r="U131" i="11"/>
  <c r="Z15" i="12"/>
  <c r="Y116" i="11"/>
  <c r="J15" i="12"/>
  <c r="I116" i="11"/>
  <c r="J11" i="12"/>
  <c r="I126" i="11" s="1"/>
  <c r="I125" i="11"/>
  <c r="W11" i="12"/>
  <c r="V126" i="11" s="1"/>
  <c r="V125" i="11"/>
  <c r="V11" i="12"/>
  <c r="U126" i="11" s="1"/>
  <c r="U125" i="11"/>
  <c r="AA11" i="12"/>
  <c r="Z126" i="11" s="1"/>
  <c r="Z125" i="11"/>
  <c r="G128" i="11" l="1"/>
  <c r="E126" i="11"/>
  <c r="E132" i="11"/>
  <c r="E123" i="11"/>
  <c r="H18" i="12"/>
  <c r="G54" i="2"/>
  <c r="T54" i="2"/>
  <c r="U54" i="2"/>
  <c r="M54" i="2"/>
  <c r="R54" i="2"/>
  <c r="J54" i="2"/>
  <c r="I54" i="2"/>
  <c r="L54" i="2"/>
  <c r="S54" i="2"/>
  <c r="F54" i="2"/>
  <c r="F56" i="2" s="1"/>
  <c r="Y54" i="2"/>
  <c r="X54" i="2"/>
  <c r="H54" i="2"/>
  <c r="O54" i="2"/>
  <c r="K54" i="2"/>
  <c r="V54" i="2"/>
  <c r="N54" i="2"/>
  <c r="Q54" i="2"/>
  <c r="P54" i="2"/>
  <c r="W54" i="2"/>
  <c r="H120" i="11"/>
  <c r="I120" i="11"/>
  <c r="Z120" i="11"/>
  <c r="AA18" i="12"/>
  <c r="O120" i="11"/>
  <c r="P18" i="12"/>
  <c r="K120" i="11"/>
  <c r="W120" i="11"/>
  <c r="X18" i="12"/>
  <c r="X120" i="11"/>
  <c r="Y18" i="12"/>
  <c r="S120" i="11"/>
  <c r="T18" i="12"/>
  <c r="Q120" i="11"/>
  <c r="R18" i="12"/>
  <c r="V120" i="11"/>
  <c r="W18" i="12"/>
  <c r="U120" i="11"/>
  <c r="V18" i="12"/>
  <c r="R120" i="11"/>
  <c r="S18" i="12"/>
  <c r="Y120" i="11"/>
  <c r="Z18" i="12"/>
  <c r="J120" i="11"/>
  <c r="P120" i="11"/>
  <c r="Q18" i="12"/>
  <c r="M120" i="11"/>
  <c r="N18" i="12"/>
  <c r="L120" i="11"/>
  <c r="T120" i="11"/>
  <c r="U18" i="12"/>
  <c r="N120" i="11"/>
  <c r="O18" i="12"/>
  <c r="Y117" i="11"/>
  <c r="I117" i="11"/>
  <c r="V117" i="11"/>
  <c r="O117" i="11"/>
  <c r="T117" i="11"/>
  <c r="H117" i="11"/>
  <c r="Z117" i="11"/>
  <c r="X117" i="11"/>
  <c r="R117" i="11"/>
  <c r="L117" i="11"/>
  <c r="K117" i="11"/>
  <c r="M117" i="11"/>
  <c r="J117" i="11"/>
  <c r="S117" i="11"/>
  <c r="Q117" i="11"/>
  <c r="N117" i="11"/>
  <c r="W117" i="11"/>
  <c r="P117" i="11"/>
  <c r="U117" i="11"/>
  <c r="N114" i="11"/>
  <c r="M114" i="11"/>
  <c r="V114" i="11"/>
  <c r="S114" i="11"/>
  <c r="Z114" i="11"/>
  <c r="Y114" i="11"/>
  <c r="V22" i="12"/>
  <c r="S22" i="12"/>
  <c r="P22" i="12"/>
  <c r="Q22" i="12"/>
  <c r="H22" i="12"/>
  <c r="M22" i="12"/>
  <c r="L22" i="12"/>
  <c r="O22" i="12"/>
  <c r="R22" i="12"/>
  <c r="Y22" i="12"/>
  <c r="I22" i="12"/>
  <c r="X22" i="12"/>
  <c r="AA22" i="12"/>
  <c r="K22" i="12"/>
  <c r="N22" i="12"/>
  <c r="U22" i="12"/>
  <c r="T22" i="12"/>
  <c r="W22" i="12"/>
  <c r="Z22" i="12"/>
  <c r="J22" i="12"/>
  <c r="X114" i="11"/>
  <c r="U114" i="11"/>
  <c r="T114" i="11"/>
  <c r="O114" i="11"/>
  <c r="R114" i="11"/>
  <c r="P114" i="11"/>
  <c r="F20" i="12"/>
  <c r="G20" i="12" s="1"/>
  <c r="W114" i="11"/>
  <c r="Q114" i="11"/>
  <c r="F85" i="2"/>
  <c r="F87" i="2"/>
  <c r="T128" i="11" l="1"/>
  <c r="Q128" i="11"/>
  <c r="Z128" i="11"/>
  <c r="V128" i="11"/>
  <c r="U128" i="11"/>
  <c r="P128" i="11"/>
  <c r="S128" i="11"/>
  <c r="W128" i="11"/>
  <c r="R128" i="11"/>
  <c r="Y128" i="11"/>
  <c r="N128" i="11"/>
  <c r="M128" i="11"/>
  <c r="X128" i="11"/>
  <c r="O128" i="11"/>
  <c r="E120" i="11"/>
  <c r="E117" i="11"/>
  <c r="I88" i="2"/>
  <c r="M88" i="2"/>
  <c r="Q88" i="2"/>
  <c r="U88" i="2"/>
  <c r="Y88" i="2"/>
  <c r="J88" i="2"/>
  <c r="N88" i="2"/>
  <c r="R88" i="2"/>
  <c r="V88" i="2"/>
  <c r="F88" i="2"/>
  <c r="K88" i="2"/>
  <c r="S88" i="2"/>
  <c r="G88" i="2"/>
  <c r="W88" i="2"/>
  <c r="H88" i="2"/>
  <c r="X88" i="2"/>
  <c r="L88" i="2"/>
  <c r="T88" i="2"/>
  <c r="O88" i="2"/>
  <c r="P88" i="2"/>
  <c r="C9" i="3" l="1"/>
  <c r="C8" i="3"/>
  <c r="E7" i="3" l="1"/>
  <c r="F7" i="3"/>
  <c r="G7" i="3"/>
  <c r="H7" i="3"/>
  <c r="I7" i="3"/>
  <c r="J7" i="3"/>
  <c r="K7" i="3"/>
  <c r="L7" i="3"/>
  <c r="M7" i="3"/>
  <c r="N7" i="3"/>
  <c r="O7" i="3"/>
  <c r="P7" i="3"/>
  <c r="Q7" i="3"/>
  <c r="R7" i="3"/>
  <c r="S7" i="3"/>
  <c r="T7" i="3"/>
  <c r="U7" i="3"/>
  <c r="D7" i="3"/>
  <c r="F24" i="2" s="1"/>
  <c r="U24" i="2" l="1"/>
  <c r="Q24" i="2"/>
  <c r="M24" i="2"/>
  <c r="I24" i="2"/>
  <c r="P24" i="2"/>
  <c r="H24" i="2"/>
  <c r="W24" i="2"/>
  <c r="S24" i="2"/>
  <c r="O24" i="2"/>
  <c r="K24" i="2"/>
  <c r="G24" i="2"/>
  <c r="T24" i="2"/>
  <c r="L24" i="2"/>
  <c r="V24" i="2"/>
  <c r="R24" i="2"/>
  <c r="N24" i="2"/>
  <c r="J24" i="2"/>
  <c r="L65" i="2"/>
  <c r="U9" i="3"/>
  <c r="W70" i="2" s="1"/>
  <c r="W65" i="2"/>
  <c r="S65" i="2"/>
  <c r="O65" i="2"/>
  <c r="I9" i="3"/>
  <c r="K70" i="2" s="1"/>
  <c r="K65" i="2"/>
  <c r="E9" i="3"/>
  <c r="G70" i="2" s="1"/>
  <c r="G65" i="2"/>
  <c r="R9" i="3"/>
  <c r="T70" i="2" s="1"/>
  <c r="T65" i="2"/>
  <c r="P65" i="2"/>
  <c r="H65" i="2"/>
  <c r="V65" i="2"/>
  <c r="R65" i="2"/>
  <c r="N65" i="2"/>
  <c r="J65" i="2"/>
  <c r="S9" i="3"/>
  <c r="U70" i="2" s="1"/>
  <c r="U65" i="2"/>
  <c r="O9" i="3"/>
  <c r="Q70" i="2" s="1"/>
  <c r="Q65" i="2"/>
  <c r="K9" i="3"/>
  <c r="M70" i="2" s="1"/>
  <c r="M65" i="2"/>
  <c r="G9" i="3"/>
  <c r="I70" i="2" s="1"/>
  <c r="I65" i="2"/>
  <c r="D8" i="3"/>
  <c r="F75" i="2" s="1"/>
  <c r="F76" i="2" s="1"/>
  <c r="F65" i="2"/>
  <c r="K8" i="3"/>
  <c r="T8" i="3"/>
  <c r="L8" i="3"/>
  <c r="H8" i="3"/>
  <c r="P8" i="3"/>
  <c r="S8" i="3"/>
  <c r="F8" i="3"/>
  <c r="F9" i="3"/>
  <c r="H70" i="2" s="1"/>
  <c r="J8" i="3"/>
  <c r="J9" i="3"/>
  <c r="L70" i="2" s="1"/>
  <c r="N8" i="3"/>
  <c r="N9" i="3"/>
  <c r="P70" i="2" s="1"/>
  <c r="M8" i="3"/>
  <c r="Q8" i="3"/>
  <c r="U8" i="3"/>
  <c r="Q9" i="3"/>
  <c r="S70" i="2" s="1"/>
  <c r="R8" i="3"/>
  <c r="M9" i="3"/>
  <c r="O70" i="2" s="1"/>
  <c r="E8" i="3"/>
  <c r="G75" i="2" s="1"/>
  <c r="O8" i="3"/>
  <c r="G8" i="3"/>
  <c r="I8" i="3"/>
  <c r="D9" i="3"/>
  <c r="T9" i="3"/>
  <c r="V70" i="2" s="1"/>
  <c r="P9" i="3"/>
  <c r="R70" i="2" s="1"/>
  <c r="L9" i="3"/>
  <c r="N70" i="2" s="1"/>
  <c r="H9" i="3"/>
  <c r="J70" i="2" s="1"/>
  <c r="F25" i="2" l="1"/>
  <c r="R75" i="2"/>
  <c r="Q75" i="2"/>
  <c r="J75" i="2"/>
  <c r="I75" i="2"/>
  <c r="T75" i="2"/>
  <c r="O75" i="2"/>
  <c r="L75" i="2"/>
  <c r="M75" i="2"/>
  <c r="W75" i="2"/>
  <c r="P75" i="2"/>
  <c r="H75" i="2"/>
  <c r="N75" i="2"/>
  <c r="K75" i="2"/>
  <c r="S75" i="2"/>
  <c r="U75" i="2"/>
  <c r="V75" i="2"/>
  <c r="F70" i="2"/>
  <c r="F66" i="2"/>
  <c r="F67" i="2" s="1"/>
  <c r="F71" i="2" l="1"/>
  <c r="F72" i="2" s="1"/>
  <c r="V7" i="3" l="1"/>
  <c r="X24" i="2" l="1"/>
  <c r="X65" i="2"/>
  <c r="V9" i="3"/>
  <c r="X70" i="2" s="1"/>
  <c r="V8" i="3"/>
  <c r="Y65" i="2" l="1"/>
  <c r="X75" i="2"/>
  <c r="W9" i="3"/>
  <c r="Y70" i="2" s="1"/>
  <c r="W8" i="3"/>
  <c r="G153" i="11"/>
  <c r="G154" i="11" l="1"/>
  <c r="Y75" i="2"/>
  <c r="F92" i="2"/>
  <c r="F36" i="2"/>
  <c r="F31" i="2"/>
  <c r="F86" i="2" l="1"/>
  <c r="F89" i="2" s="1"/>
  <c r="D41" i="3" s="1"/>
  <c r="F93" i="2"/>
  <c r="F32" i="2"/>
  <c r="F33" i="2" s="1"/>
  <c r="D37" i="3" s="1"/>
  <c r="F37" i="2"/>
  <c r="D42" i="3" l="1"/>
  <c r="F94" i="2"/>
  <c r="G108" i="11"/>
  <c r="G107" i="11"/>
  <c r="G106" i="11"/>
  <c r="G105" i="11"/>
  <c r="G104" i="11"/>
  <c r="G103" i="11"/>
  <c r="G102" i="11"/>
  <c r="G101" i="11"/>
  <c r="G100" i="11"/>
  <c r="G99" i="11"/>
  <c r="G98" i="11"/>
  <c r="G50" i="11"/>
  <c r="G49" i="11"/>
  <c r="G48" i="11"/>
  <c r="G47" i="11"/>
  <c r="G46" i="11"/>
  <c r="G45" i="11"/>
  <c r="G44" i="11"/>
  <c r="G43" i="11"/>
  <c r="G42" i="11"/>
  <c r="G41" i="11"/>
  <c r="G109" i="11" l="1"/>
  <c r="G51" i="11"/>
  <c r="F90" i="2"/>
  <c r="D38" i="3" l="1"/>
  <c r="F34" i="2" l="1"/>
  <c r="G21" i="10" l="1"/>
  <c r="H21" i="10" s="1"/>
  <c r="G20" i="10"/>
  <c r="H20" i="10" s="1"/>
  <c r="G18" i="10"/>
  <c r="H18" i="10" s="1"/>
  <c r="G17" i="10"/>
  <c r="H17" i="10" s="1"/>
  <c r="G15" i="10"/>
  <c r="H15" i="10" s="1"/>
  <c r="G14" i="10"/>
  <c r="H14" i="10" s="1"/>
  <c r="G13" i="10"/>
  <c r="H13" i="10" s="1"/>
  <c r="G12" i="10"/>
  <c r="H12" i="10" s="1"/>
  <c r="G11" i="10"/>
  <c r="H11" i="10" s="1"/>
  <c r="G9" i="10"/>
  <c r="H9" i="10" s="1"/>
  <c r="G8" i="10"/>
  <c r="H8" i="10" s="1"/>
  <c r="G7" i="11"/>
  <c r="H6" i="11"/>
  <c r="H40" i="11" s="1"/>
  <c r="H5" i="11"/>
  <c r="H134" i="11" l="1"/>
  <c r="H135" i="11" s="1"/>
  <c r="G36" i="11"/>
  <c r="G32" i="11"/>
  <c r="G27" i="11"/>
  <c r="G34" i="11"/>
  <c r="G28" i="11"/>
  <c r="G33" i="11"/>
  <c r="G26" i="11"/>
  <c r="G29" i="11"/>
  <c r="G35" i="11"/>
  <c r="G22" i="11"/>
  <c r="G18" i="11"/>
  <c r="G17" i="11"/>
  <c r="G13" i="11"/>
  <c r="G15" i="11"/>
  <c r="G14" i="11"/>
  <c r="G31" i="11"/>
  <c r="G21" i="11"/>
  <c r="G16" i="11"/>
  <c r="G71" i="11"/>
  <c r="G30" i="11"/>
  <c r="G20" i="11"/>
  <c r="G12" i="11"/>
  <c r="G19" i="11"/>
  <c r="H54" i="11"/>
  <c r="H153" i="11"/>
  <c r="F38" i="2"/>
  <c r="H107" i="11"/>
  <c r="H104" i="11"/>
  <c r="H102" i="11"/>
  <c r="H100" i="11"/>
  <c r="H108" i="11"/>
  <c r="H106" i="11"/>
  <c r="H105" i="11"/>
  <c r="H103" i="11"/>
  <c r="H101" i="11"/>
  <c r="H99" i="11"/>
  <c r="H98" i="11"/>
  <c r="H50" i="11"/>
  <c r="H49" i="11"/>
  <c r="H48" i="11"/>
  <c r="H47" i="11"/>
  <c r="H46" i="11"/>
  <c r="H45" i="11"/>
  <c r="H44" i="11"/>
  <c r="H43" i="11"/>
  <c r="H42" i="11"/>
  <c r="H41" i="11"/>
  <c r="G89" i="11"/>
  <c r="G88" i="11"/>
  <c r="G86" i="11"/>
  <c r="G74" i="11"/>
  <c r="G84" i="11"/>
  <c r="G73" i="11"/>
  <c r="G70" i="11"/>
  <c r="G75" i="11"/>
  <c r="G72" i="11"/>
  <c r="G87" i="11"/>
  <c r="G85" i="11"/>
  <c r="G77" i="11"/>
  <c r="G80" i="11"/>
  <c r="H7" i="11"/>
  <c r="I5" i="11"/>
  <c r="H12" i="11" s="1"/>
  <c r="G93" i="11"/>
  <c r="G90" i="11"/>
  <c r="G92" i="11"/>
  <c r="G78" i="11"/>
  <c r="G94" i="11"/>
  <c r="G91" i="11"/>
  <c r="G76" i="11"/>
  <c r="G79" i="11"/>
  <c r="I6" i="11"/>
  <c r="I40" i="11" s="1"/>
  <c r="H17" i="11" l="1"/>
  <c r="H35" i="11"/>
  <c r="H29" i="11"/>
  <c r="H19" i="11"/>
  <c r="H32" i="11"/>
  <c r="H21" i="11"/>
  <c r="H33" i="11"/>
  <c r="H30" i="11"/>
  <c r="H18" i="11"/>
  <c r="H22" i="11"/>
  <c r="H16" i="11"/>
  <c r="H15" i="11"/>
  <c r="H34" i="11"/>
  <c r="H28" i="11"/>
  <c r="H36" i="11"/>
  <c r="H13" i="11"/>
  <c r="H27" i="11"/>
  <c r="H14" i="11"/>
  <c r="H20" i="11"/>
  <c r="H31" i="11"/>
  <c r="H26" i="11"/>
  <c r="H109" i="11"/>
  <c r="G81" i="11"/>
  <c r="G165" i="11" s="1"/>
  <c r="G95" i="11"/>
  <c r="H51" i="11"/>
  <c r="G23" i="11"/>
  <c r="G65" i="11" s="1"/>
  <c r="G37" i="11"/>
  <c r="I134" i="11"/>
  <c r="I135" i="11" s="1"/>
  <c r="I54" i="11"/>
  <c r="I153" i="11"/>
  <c r="I108" i="11"/>
  <c r="I104" i="11"/>
  <c r="I101" i="11"/>
  <c r="I98" i="11"/>
  <c r="I105" i="11"/>
  <c r="I102" i="11"/>
  <c r="I106" i="11"/>
  <c r="I103" i="11"/>
  <c r="I99" i="11"/>
  <c r="I107" i="11"/>
  <c r="I100" i="11"/>
  <c r="I50" i="11"/>
  <c r="I49" i="11"/>
  <c r="I48" i="11"/>
  <c r="I47" i="11"/>
  <c r="I46" i="11"/>
  <c r="I45" i="11"/>
  <c r="I42" i="11"/>
  <c r="I43" i="11"/>
  <c r="I44" i="11"/>
  <c r="I41" i="11"/>
  <c r="H79" i="11"/>
  <c r="H72" i="11"/>
  <c r="H93" i="11"/>
  <c r="H76" i="11"/>
  <c r="H88" i="11"/>
  <c r="H92" i="11"/>
  <c r="H91" i="11"/>
  <c r="H70" i="11"/>
  <c r="H73" i="11"/>
  <c r="H84" i="11"/>
  <c r="H87" i="11"/>
  <c r="H86" i="11"/>
  <c r="H74" i="11"/>
  <c r="H89" i="11"/>
  <c r="H94" i="11"/>
  <c r="H71" i="11"/>
  <c r="H75" i="11"/>
  <c r="H85" i="11"/>
  <c r="J5" i="11"/>
  <c r="I34" i="11" s="1"/>
  <c r="H90" i="11"/>
  <c r="H78" i="11"/>
  <c r="H77" i="11"/>
  <c r="H80" i="11"/>
  <c r="J6" i="11"/>
  <c r="J40" i="11" s="1"/>
  <c r="I7" i="11"/>
  <c r="I14" i="11" l="1"/>
  <c r="I29" i="11"/>
  <c r="I17" i="11"/>
  <c r="I15" i="11"/>
  <c r="I31" i="11"/>
  <c r="I32" i="11"/>
  <c r="I12" i="11"/>
  <c r="I26" i="11"/>
  <c r="I20" i="11"/>
  <c r="I22" i="11"/>
  <c r="I19" i="11"/>
  <c r="I16" i="11"/>
  <c r="I27" i="11"/>
  <c r="I36" i="11"/>
  <c r="I18" i="11"/>
  <c r="I35" i="11"/>
  <c r="I33" i="11"/>
  <c r="I21" i="11"/>
  <c r="I28" i="11"/>
  <c r="I13" i="11"/>
  <c r="I30" i="11"/>
  <c r="I109" i="11"/>
  <c r="H95" i="11"/>
  <c r="H81" i="11"/>
  <c r="H37" i="11"/>
  <c r="I51" i="11"/>
  <c r="H23" i="11"/>
  <c r="H65" i="11" s="1"/>
  <c r="J134" i="11"/>
  <c r="J135" i="11" s="1"/>
  <c r="J54" i="11"/>
  <c r="J153" i="11"/>
  <c r="J105" i="11"/>
  <c r="J102" i="11"/>
  <c r="J106" i="11"/>
  <c r="J103" i="11"/>
  <c r="J99" i="11"/>
  <c r="J107" i="11"/>
  <c r="J100" i="11"/>
  <c r="J98" i="11"/>
  <c r="J104" i="11"/>
  <c r="J108" i="11"/>
  <c r="J101" i="11"/>
  <c r="J50" i="11"/>
  <c r="J49" i="11"/>
  <c r="J48" i="11"/>
  <c r="J47" i="11"/>
  <c r="J46" i="11"/>
  <c r="J45" i="11"/>
  <c r="J43" i="11"/>
  <c r="J44" i="11"/>
  <c r="J41" i="11"/>
  <c r="J42" i="11"/>
  <c r="I86" i="11"/>
  <c r="I92" i="11"/>
  <c r="I80" i="11"/>
  <c r="I71" i="11"/>
  <c r="I88" i="11"/>
  <c r="I72" i="11"/>
  <c r="I89" i="11"/>
  <c r="I90" i="11"/>
  <c r="I70" i="11"/>
  <c r="I73" i="11"/>
  <c r="I84" i="11"/>
  <c r="I75" i="11"/>
  <c r="I85" i="11"/>
  <c r="I77" i="11"/>
  <c r="I74" i="11"/>
  <c r="I87" i="11"/>
  <c r="I78" i="11"/>
  <c r="I76" i="11"/>
  <c r="I91" i="11"/>
  <c r="I93" i="11"/>
  <c r="I79" i="11"/>
  <c r="I94" i="11"/>
  <c r="K5" i="11"/>
  <c r="J35" i="11" s="1"/>
  <c r="K6" i="11"/>
  <c r="K40" i="11" s="1"/>
  <c r="J7" i="11"/>
  <c r="J27" i="11" l="1"/>
  <c r="J28" i="11"/>
  <c r="J22" i="11"/>
  <c r="J15" i="11"/>
  <c r="J20" i="11"/>
  <c r="J18" i="11"/>
  <c r="J26" i="11"/>
  <c r="J14" i="11"/>
  <c r="J32" i="11"/>
  <c r="J21" i="11"/>
  <c r="J19" i="11"/>
  <c r="J29" i="11"/>
  <c r="J36" i="11"/>
  <c r="J17" i="11"/>
  <c r="J13" i="11"/>
  <c r="J16" i="11"/>
  <c r="J12" i="11"/>
  <c r="J33" i="11"/>
  <c r="J34" i="11"/>
  <c r="J30" i="11"/>
  <c r="J31" i="11"/>
  <c r="J109" i="11"/>
  <c r="I95" i="11"/>
  <c r="I81" i="11"/>
  <c r="J51" i="11"/>
  <c r="I23" i="11"/>
  <c r="I65" i="11" s="1"/>
  <c r="I37" i="11"/>
  <c r="K134" i="11"/>
  <c r="K135" i="11" s="1"/>
  <c r="K54" i="11"/>
  <c r="I17" i="4" s="1"/>
  <c r="K153" i="11"/>
  <c r="K106" i="11"/>
  <c r="K103" i="11"/>
  <c r="K99" i="11"/>
  <c r="K107" i="11"/>
  <c r="K100" i="11"/>
  <c r="K108" i="11"/>
  <c r="K104" i="11"/>
  <c r="K101" i="11"/>
  <c r="K98" i="11"/>
  <c r="K102" i="11"/>
  <c r="K105" i="11"/>
  <c r="K50" i="11"/>
  <c r="K49" i="11"/>
  <c r="K48" i="11"/>
  <c r="K47" i="11"/>
  <c r="K44" i="11"/>
  <c r="K41" i="11"/>
  <c r="K46" i="11"/>
  <c r="K45" i="11"/>
  <c r="K42" i="11"/>
  <c r="K43" i="11"/>
  <c r="J84" i="11"/>
  <c r="J70" i="11"/>
  <c r="J73" i="11"/>
  <c r="J88" i="11"/>
  <c r="J74" i="11"/>
  <c r="J87" i="11"/>
  <c r="J71" i="11"/>
  <c r="J75" i="11"/>
  <c r="J85" i="11"/>
  <c r="J89" i="11"/>
  <c r="J72" i="11"/>
  <c r="J86" i="11"/>
  <c r="J92" i="11"/>
  <c r="J78" i="11"/>
  <c r="J80" i="11"/>
  <c r="J94" i="11"/>
  <c r="J79" i="11"/>
  <c r="J90" i="11"/>
  <c r="J76" i="11"/>
  <c r="J77" i="11"/>
  <c r="J93" i="11"/>
  <c r="L5" i="11"/>
  <c r="K35" i="11" s="1"/>
  <c r="J91" i="11"/>
  <c r="K7" i="11"/>
  <c r="L6" i="11"/>
  <c r="L40" i="11" s="1"/>
  <c r="K26" i="11" l="1"/>
  <c r="K28" i="11"/>
  <c r="K12" i="11"/>
  <c r="K17" i="11"/>
  <c r="K19" i="11"/>
  <c r="K36" i="11"/>
  <c r="K13" i="11"/>
  <c r="K14" i="11"/>
  <c r="K29" i="11"/>
  <c r="K21" i="11"/>
  <c r="K34" i="11"/>
  <c r="K22" i="11"/>
  <c r="K30" i="11"/>
  <c r="K33" i="11"/>
  <c r="K32" i="11"/>
  <c r="K31" i="11"/>
  <c r="K18" i="11"/>
  <c r="K15" i="11"/>
  <c r="K20" i="11"/>
  <c r="K16" i="11"/>
  <c r="K27" i="11"/>
  <c r="K109" i="11"/>
  <c r="J95" i="11"/>
  <c r="J81" i="11"/>
  <c r="J23" i="11"/>
  <c r="J65" i="11" s="1"/>
  <c r="K51" i="11"/>
  <c r="J37" i="11"/>
  <c r="J17" i="4"/>
  <c r="L134" i="11"/>
  <c r="L135" i="11" s="1"/>
  <c r="L54" i="11"/>
  <c r="L153" i="11"/>
  <c r="L107" i="11"/>
  <c r="L100" i="11"/>
  <c r="L108" i="11"/>
  <c r="L104" i="11"/>
  <c r="L101" i="11"/>
  <c r="L98" i="11"/>
  <c r="L105" i="11"/>
  <c r="L102" i="11"/>
  <c r="L103" i="11"/>
  <c r="L106" i="11"/>
  <c r="L99" i="11"/>
  <c r="L50" i="11"/>
  <c r="L49" i="11"/>
  <c r="L48" i="11"/>
  <c r="L47" i="11"/>
  <c r="L46" i="11"/>
  <c r="L45" i="11"/>
  <c r="L44" i="11"/>
  <c r="L43" i="11"/>
  <c r="L42" i="11"/>
  <c r="L41" i="11"/>
  <c r="K88" i="11"/>
  <c r="K75" i="11"/>
  <c r="K77" i="11"/>
  <c r="K85" i="11"/>
  <c r="K72" i="11"/>
  <c r="K70" i="11"/>
  <c r="K87" i="11"/>
  <c r="K89" i="11"/>
  <c r="K74" i="11"/>
  <c r="K86" i="11"/>
  <c r="K73" i="11"/>
  <c r="K71" i="11"/>
  <c r="K84" i="11"/>
  <c r="K90" i="11"/>
  <c r="K80" i="11"/>
  <c r="K91" i="11"/>
  <c r="K79" i="11"/>
  <c r="K94" i="11"/>
  <c r="K76" i="11"/>
  <c r="K92" i="11"/>
  <c r="K78" i="11"/>
  <c r="K93" i="11"/>
  <c r="M5" i="11"/>
  <c r="L17" i="11" s="1"/>
  <c r="L7" i="11"/>
  <c r="M6" i="11"/>
  <c r="L32" i="11" l="1"/>
  <c r="L35" i="11"/>
  <c r="L33" i="11"/>
  <c r="L27" i="11"/>
  <c r="L22" i="11"/>
  <c r="L26" i="11"/>
  <c r="L16" i="11"/>
  <c r="L21" i="11"/>
  <c r="L18" i="11"/>
  <c r="L34" i="11"/>
  <c r="L31" i="11"/>
  <c r="L36" i="11"/>
  <c r="L30" i="11"/>
  <c r="L20" i="11"/>
  <c r="L29" i="11"/>
  <c r="L28" i="11"/>
  <c r="L15" i="11"/>
  <c r="L19" i="11"/>
  <c r="L14" i="11"/>
  <c r="L12" i="11"/>
  <c r="L13" i="11"/>
  <c r="L109" i="11"/>
  <c r="K95" i="11"/>
  <c r="J13" i="4" s="1"/>
  <c r="K23" i="11"/>
  <c r="I12" i="4" s="1"/>
  <c r="I22" i="4" s="1"/>
  <c r="K81" i="11"/>
  <c r="J12" i="4" s="1"/>
  <c r="L51" i="11"/>
  <c r="K37" i="11"/>
  <c r="I13" i="4" s="1"/>
  <c r="M134" i="11"/>
  <c r="M135" i="11" s="1"/>
  <c r="M54" i="11"/>
  <c r="M153" i="11"/>
  <c r="L89" i="11"/>
  <c r="L71" i="11"/>
  <c r="L75" i="11"/>
  <c r="L85" i="11"/>
  <c r="L87" i="11"/>
  <c r="L72" i="11"/>
  <c r="L86" i="11"/>
  <c r="L74" i="11"/>
  <c r="L70" i="11"/>
  <c r="L73" i="11"/>
  <c r="L84" i="11"/>
  <c r="L88" i="11"/>
  <c r="L77" i="11"/>
  <c r="L79" i="11"/>
  <c r="N5" i="11"/>
  <c r="M14" i="11" s="1"/>
  <c r="L91" i="11"/>
  <c r="L80" i="11"/>
  <c r="L78" i="11"/>
  <c r="L90" i="11"/>
  <c r="L92" i="11"/>
  <c r="L94" i="11"/>
  <c r="L76" i="11"/>
  <c r="L93" i="11"/>
  <c r="M7" i="11"/>
  <c r="N6" i="11"/>
  <c r="N40" i="11" s="1"/>
  <c r="K65" i="11" l="1"/>
  <c r="M16" i="11"/>
  <c r="M36" i="11"/>
  <c r="M21" i="11"/>
  <c r="M34" i="11"/>
  <c r="M13" i="11"/>
  <c r="M29" i="11"/>
  <c r="M27" i="11"/>
  <c r="M15" i="11"/>
  <c r="M19" i="11"/>
  <c r="M31" i="11"/>
  <c r="M20" i="11"/>
  <c r="M35" i="11"/>
  <c r="M12" i="11"/>
  <c r="M18" i="11"/>
  <c r="M28" i="11"/>
  <c r="M30" i="11"/>
  <c r="M32" i="11"/>
  <c r="M22" i="11"/>
  <c r="M33" i="11"/>
  <c r="M17" i="11"/>
  <c r="M26" i="11"/>
  <c r="L95" i="11"/>
  <c r="L81" i="11"/>
  <c r="L37" i="11"/>
  <c r="L23" i="11"/>
  <c r="L65" i="11" s="1"/>
  <c r="N134" i="11"/>
  <c r="N135" i="11" s="1"/>
  <c r="N54" i="11"/>
  <c r="N153" i="11"/>
  <c r="N107" i="11"/>
  <c r="N103" i="11"/>
  <c r="N102" i="11"/>
  <c r="N100" i="11"/>
  <c r="N98" i="11"/>
  <c r="N104" i="11"/>
  <c r="N99" i="11"/>
  <c r="N101" i="11"/>
  <c r="N106" i="11"/>
  <c r="N108" i="11"/>
  <c r="N105" i="11"/>
  <c r="N50" i="11"/>
  <c r="N49" i="11"/>
  <c r="N48" i="11"/>
  <c r="N47" i="11"/>
  <c r="N46" i="11"/>
  <c r="N45" i="11"/>
  <c r="N42" i="11"/>
  <c r="N43" i="11"/>
  <c r="N44" i="11"/>
  <c r="N41" i="11"/>
  <c r="M78" i="11"/>
  <c r="M76" i="11"/>
  <c r="M79" i="11"/>
  <c r="M89" i="11"/>
  <c r="M90" i="11"/>
  <c r="M73" i="11"/>
  <c r="M87" i="11"/>
  <c r="M91" i="11"/>
  <c r="M93" i="11"/>
  <c r="M74" i="11"/>
  <c r="M88" i="11"/>
  <c r="M77" i="11"/>
  <c r="M70" i="11"/>
  <c r="M84" i="11"/>
  <c r="M71" i="11"/>
  <c r="M75" i="11"/>
  <c r="M85" i="11"/>
  <c r="M72" i="11"/>
  <c r="M86" i="11"/>
  <c r="M80" i="11"/>
  <c r="M94" i="11"/>
  <c r="M92" i="11"/>
  <c r="O5" i="11"/>
  <c r="N29" i="11" s="1"/>
  <c r="N7" i="11"/>
  <c r="O6" i="11"/>
  <c r="O40" i="11" s="1"/>
  <c r="N36" i="11" l="1"/>
  <c r="N34" i="11"/>
  <c r="N20" i="11"/>
  <c r="N31" i="11"/>
  <c r="N12" i="11"/>
  <c r="N22" i="11"/>
  <c r="N14" i="11"/>
  <c r="N30" i="11"/>
  <c r="N28" i="11"/>
  <c r="N32" i="11"/>
  <c r="N26" i="11"/>
  <c r="N16" i="11"/>
  <c r="N27" i="11"/>
  <c r="N18" i="11"/>
  <c r="N19" i="11"/>
  <c r="N15" i="11"/>
  <c r="N33" i="11"/>
  <c r="N21" i="11"/>
  <c r="N17" i="11"/>
  <c r="N13" i="11"/>
  <c r="N35" i="11"/>
  <c r="N109" i="11"/>
  <c r="M95" i="11"/>
  <c r="M81" i="11"/>
  <c r="N51" i="11"/>
  <c r="M23" i="11"/>
  <c r="M37" i="11"/>
  <c r="O134" i="11"/>
  <c r="O135" i="11" s="1"/>
  <c r="O54" i="11"/>
  <c r="O153" i="11"/>
  <c r="O108" i="11"/>
  <c r="O107" i="11"/>
  <c r="O105" i="11"/>
  <c r="O106" i="11"/>
  <c r="O99" i="11"/>
  <c r="O100" i="11"/>
  <c r="O98" i="11"/>
  <c r="O103" i="11"/>
  <c r="O102" i="11"/>
  <c r="O104" i="11"/>
  <c r="O101" i="11"/>
  <c r="O50" i="11"/>
  <c r="O49" i="11"/>
  <c r="O48" i="11"/>
  <c r="O46" i="11"/>
  <c r="O43" i="11"/>
  <c r="O47" i="11"/>
  <c r="O45" i="11"/>
  <c r="O44" i="11"/>
  <c r="O41" i="11"/>
  <c r="O42" i="11"/>
  <c r="N80" i="11"/>
  <c r="N73" i="11"/>
  <c r="N89" i="11"/>
  <c r="N70" i="11"/>
  <c r="N74" i="11"/>
  <c r="N87" i="11"/>
  <c r="N86" i="11"/>
  <c r="N72" i="11"/>
  <c r="N84" i="11"/>
  <c r="N88" i="11"/>
  <c r="N71" i="11"/>
  <c r="N75" i="11"/>
  <c r="N85" i="11"/>
  <c r="N76" i="11"/>
  <c r="N90" i="11"/>
  <c r="N79" i="11"/>
  <c r="N78" i="11"/>
  <c r="N77" i="11"/>
  <c r="N91" i="11"/>
  <c r="P5" i="11"/>
  <c r="O32" i="11" s="1"/>
  <c r="N93" i="11"/>
  <c r="N94" i="11"/>
  <c r="N92" i="11"/>
  <c r="O7" i="11"/>
  <c r="P6" i="11"/>
  <c r="P40" i="11" s="1"/>
  <c r="O19" i="11" l="1"/>
  <c r="O26" i="11"/>
  <c r="O33" i="11"/>
  <c r="O12" i="11"/>
  <c r="O22" i="11"/>
  <c r="O18" i="11"/>
  <c r="O20" i="11"/>
  <c r="O36" i="11"/>
  <c r="O14" i="11"/>
  <c r="O28" i="11"/>
  <c r="O17" i="11"/>
  <c r="O13" i="11"/>
  <c r="O30" i="11"/>
  <c r="P134" i="11"/>
  <c r="P135" i="11" s="1"/>
  <c r="O21" i="11"/>
  <c r="O15" i="11"/>
  <c r="O29" i="11"/>
  <c r="O31" i="11"/>
  <c r="O35" i="11"/>
  <c r="O34" i="11"/>
  <c r="O16" i="11"/>
  <c r="O27" i="11"/>
  <c r="O109" i="11"/>
  <c r="N95" i="11"/>
  <c r="N81" i="11"/>
  <c r="N165" i="11" s="1"/>
  <c r="N23" i="11"/>
  <c r="N65" i="11" s="1"/>
  <c r="O51" i="11"/>
  <c r="N37" i="11"/>
  <c r="P54" i="11"/>
  <c r="P153" i="11"/>
  <c r="P105" i="11"/>
  <c r="P101" i="11"/>
  <c r="P103" i="11"/>
  <c r="P98" i="11"/>
  <c r="P108" i="11"/>
  <c r="P102" i="11"/>
  <c r="P100" i="11"/>
  <c r="P107" i="11"/>
  <c r="P99" i="11"/>
  <c r="P106" i="11"/>
  <c r="P104" i="11"/>
  <c r="P50" i="11"/>
  <c r="P49" i="11"/>
  <c r="P48" i="11"/>
  <c r="P47" i="11"/>
  <c r="P46" i="11"/>
  <c r="P45" i="11"/>
  <c r="P44" i="11"/>
  <c r="P43" i="11"/>
  <c r="P42" i="11"/>
  <c r="P41" i="11"/>
  <c r="O88" i="11"/>
  <c r="O71" i="11"/>
  <c r="O76" i="11"/>
  <c r="O72" i="11"/>
  <c r="O87" i="11"/>
  <c r="O74" i="11"/>
  <c r="O85" i="11"/>
  <c r="O73" i="11"/>
  <c r="O75" i="11"/>
  <c r="O70" i="11"/>
  <c r="O84" i="11"/>
  <c r="O86" i="11"/>
  <c r="O89" i="11"/>
  <c r="O79" i="11"/>
  <c r="O94" i="11"/>
  <c r="O80" i="11"/>
  <c r="O92" i="11"/>
  <c r="O93" i="11"/>
  <c r="O90" i="11"/>
  <c r="O77" i="11"/>
  <c r="O91" i="11"/>
  <c r="O78" i="11"/>
  <c r="Q5" i="11"/>
  <c r="P28" i="11" s="1"/>
  <c r="P7" i="11"/>
  <c r="Q6" i="11"/>
  <c r="Q40" i="11" s="1"/>
  <c r="P36" i="11" l="1"/>
  <c r="P35" i="11"/>
  <c r="P19" i="11"/>
  <c r="P27" i="11"/>
  <c r="P31" i="11"/>
  <c r="P29" i="11"/>
  <c r="P18" i="11"/>
  <c r="P30" i="11"/>
  <c r="P33" i="11"/>
  <c r="P12" i="11"/>
  <c r="P21" i="11"/>
  <c r="P15" i="11"/>
  <c r="P34" i="11"/>
  <c r="P20" i="11"/>
  <c r="P16" i="11"/>
  <c r="P17" i="11"/>
  <c r="P22" i="11"/>
  <c r="P26" i="11"/>
  <c r="P32" i="11"/>
  <c r="P14" i="11"/>
  <c r="P13" i="11"/>
  <c r="P109" i="11"/>
  <c r="O95" i="11"/>
  <c r="O81" i="11"/>
  <c r="O165" i="11" s="1"/>
  <c r="P51" i="11"/>
  <c r="O23" i="11"/>
  <c r="O65" i="11" s="1"/>
  <c r="O37" i="11"/>
  <c r="Q134" i="11"/>
  <c r="Q135" i="11" s="1"/>
  <c r="Q54" i="11"/>
  <c r="Q153" i="11"/>
  <c r="Q107" i="11"/>
  <c r="Q98" i="11"/>
  <c r="Q104" i="11"/>
  <c r="Q105" i="11"/>
  <c r="Q100" i="11"/>
  <c r="Q102" i="11"/>
  <c r="Q108" i="11"/>
  <c r="Q106" i="11"/>
  <c r="Q99" i="11"/>
  <c r="Q103" i="11"/>
  <c r="Q101" i="11"/>
  <c r="Q50" i="11"/>
  <c r="Q49" i="11"/>
  <c r="Q48" i="11"/>
  <c r="Q47" i="11"/>
  <c r="Q46" i="11"/>
  <c r="Q45" i="11"/>
  <c r="Q44" i="11"/>
  <c r="Q41" i="11"/>
  <c r="Q42" i="11"/>
  <c r="Q43" i="11"/>
  <c r="P76" i="11"/>
  <c r="P73" i="11"/>
  <c r="P87" i="11"/>
  <c r="P74" i="11"/>
  <c r="P88" i="11"/>
  <c r="P72" i="11"/>
  <c r="P89" i="11"/>
  <c r="P70" i="11"/>
  <c r="P84" i="11"/>
  <c r="P86" i="11"/>
  <c r="P71" i="11"/>
  <c r="P75" i="11"/>
  <c r="P85" i="11"/>
  <c r="P90" i="11"/>
  <c r="P94" i="11"/>
  <c r="P78" i="11"/>
  <c r="P80" i="11"/>
  <c r="P79" i="11"/>
  <c r="R5" i="11"/>
  <c r="Q34" i="11" s="1"/>
  <c r="P77" i="11"/>
  <c r="P93" i="11"/>
  <c r="P92" i="11"/>
  <c r="P91" i="11"/>
  <c r="Q7" i="11"/>
  <c r="R6" i="11"/>
  <c r="R40" i="11" s="1"/>
  <c r="Q21" i="11" l="1"/>
  <c r="Q20" i="11"/>
  <c r="Q18" i="11"/>
  <c r="Q19" i="11"/>
  <c r="Q29" i="11"/>
  <c r="Q13" i="11"/>
  <c r="Q12" i="11"/>
  <c r="Q14" i="11"/>
  <c r="Q15" i="11"/>
  <c r="Q22" i="11"/>
  <c r="Q36" i="11"/>
  <c r="Q35" i="11"/>
  <c r="Q33" i="11"/>
  <c r="Q32" i="11"/>
  <c r="Q16" i="11"/>
  <c r="Q17" i="11"/>
  <c r="Q28" i="11"/>
  <c r="Q26" i="11"/>
  <c r="Q27" i="11"/>
  <c r="Q31" i="11"/>
  <c r="Q30" i="11"/>
  <c r="Q109" i="11"/>
  <c r="P95" i="11"/>
  <c r="P37" i="11"/>
  <c r="P81" i="11"/>
  <c r="P165" i="11" s="1"/>
  <c r="Q51" i="11"/>
  <c r="P23" i="11"/>
  <c r="P65" i="11" s="1"/>
  <c r="R134" i="11"/>
  <c r="R135" i="11" s="1"/>
  <c r="R54" i="11"/>
  <c r="R153" i="11"/>
  <c r="R106" i="11"/>
  <c r="R98" i="11"/>
  <c r="R100" i="11"/>
  <c r="R102" i="11"/>
  <c r="R108" i="11"/>
  <c r="R101" i="11"/>
  <c r="R107" i="11"/>
  <c r="R103" i="11"/>
  <c r="R99" i="11"/>
  <c r="R105" i="11"/>
  <c r="R104" i="11"/>
  <c r="R50" i="11"/>
  <c r="R49" i="11"/>
  <c r="R48" i="11"/>
  <c r="R47" i="11"/>
  <c r="R46" i="11"/>
  <c r="R45" i="11"/>
  <c r="R42" i="11"/>
  <c r="R44" i="11"/>
  <c r="R41" i="11"/>
  <c r="R43" i="11"/>
  <c r="Q79" i="11"/>
  <c r="Q77" i="11"/>
  <c r="Q87" i="11"/>
  <c r="Q72" i="11"/>
  <c r="Q75" i="11"/>
  <c r="Q89" i="11"/>
  <c r="Q71" i="11"/>
  <c r="Q85" i="11"/>
  <c r="Q92" i="11"/>
  <c r="Q86" i="11"/>
  <c r="Q90" i="11"/>
  <c r="Q70" i="11"/>
  <c r="Q73" i="11"/>
  <c r="Q84" i="11"/>
  <c r="Q74" i="11"/>
  <c r="Q88" i="11"/>
  <c r="Q76" i="11"/>
  <c r="Q80" i="11"/>
  <c r="Q78" i="11"/>
  <c r="Q91" i="11"/>
  <c r="Q93" i="11"/>
  <c r="Q94" i="11"/>
  <c r="S5" i="11"/>
  <c r="R26" i="11" s="1"/>
  <c r="R7" i="11"/>
  <c r="S6" i="11"/>
  <c r="S40" i="11" s="1"/>
  <c r="R16" i="11" l="1"/>
  <c r="R14" i="11"/>
  <c r="R35" i="11"/>
  <c r="R20" i="11"/>
  <c r="R12" i="11"/>
  <c r="R31" i="11"/>
  <c r="R27" i="11"/>
  <c r="R17" i="11"/>
  <c r="R34" i="11"/>
  <c r="R36" i="11"/>
  <c r="R22" i="11"/>
  <c r="R13" i="11"/>
  <c r="R32" i="11"/>
  <c r="R33" i="11"/>
  <c r="R28" i="11"/>
  <c r="R21" i="11"/>
  <c r="R30" i="11"/>
  <c r="R18" i="11"/>
  <c r="R19" i="11"/>
  <c r="R15" i="11"/>
  <c r="R29" i="11"/>
  <c r="R109" i="11"/>
  <c r="Q95" i="11"/>
  <c r="Q81" i="11"/>
  <c r="Q165" i="11" s="1"/>
  <c r="Q23" i="11"/>
  <c r="Q65" i="11" s="1"/>
  <c r="R51" i="11"/>
  <c r="Q37" i="11"/>
  <c r="S134" i="11"/>
  <c r="S135" i="11" s="1"/>
  <c r="S54" i="11"/>
  <c r="S153" i="11"/>
  <c r="S102" i="11"/>
  <c r="S99" i="11"/>
  <c r="S105" i="11"/>
  <c r="S104" i="11"/>
  <c r="S107" i="11"/>
  <c r="S101" i="11"/>
  <c r="S106" i="11"/>
  <c r="S108" i="11"/>
  <c r="S103" i="11"/>
  <c r="S100" i="11"/>
  <c r="S98" i="11"/>
  <c r="S50" i="11"/>
  <c r="S49" i="11"/>
  <c r="S48" i="11"/>
  <c r="S47" i="11"/>
  <c r="S45" i="11"/>
  <c r="S42" i="11"/>
  <c r="S43" i="11"/>
  <c r="S44" i="11"/>
  <c r="S41" i="11"/>
  <c r="S46" i="11"/>
  <c r="R71" i="11"/>
  <c r="R72" i="11"/>
  <c r="R88" i="11"/>
  <c r="R85" i="11"/>
  <c r="R74" i="11"/>
  <c r="R87" i="11"/>
  <c r="R89" i="11"/>
  <c r="R75" i="11"/>
  <c r="R86" i="11"/>
  <c r="R70" i="11"/>
  <c r="R73" i="11"/>
  <c r="R84" i="11"/>
  <c r="R93" i="11"/>
  <c r="R77" i="11"/>
  <c r="R79" i="11"/>
  <c r="R90" i="11"/>
  <c r="R91" i="11"/>
  <c r="R80" i="11"/>
  <c r="R78" i="11"/>
  <c r="R76" i="11"/>
  <c r="R94" i="11"/>
  <c r="R92" i="11"/>
  <c r="T5" i="11"/>
  <c r="S12" i="11" s="1"/>
  <c r="T6" i="11"/>
  <c r="S7" i="11"/>
  <c r="S22" i="11" l="1"/>
  <c r="S15" i="11"/>
  <c r="S27" i="11"/>
  <c r="S21" i="11"/>
  <c r="S17" i="11"/>
  <c r="S26" i="11"/>
  <c r="S33" i="11"/>
  <c r="S31" i="11"/>
  <c r="S16" i="11"/>
  <c r="S30" i="11"/>
  <c r="S20" i="11"/>
  <c r="S32" i="11"/>
  <c r="S18" i="11"/>
  <c r="S14" i="11"/>
  <c r="S28" i="11"/>
  <c r="S13" i="11"/>
  <c r="S35" i="11"/>
  <c r="S19" i="11"/>
  <c r="S29" i="11"/>
  <c r="S34" i="11"/>
  <c r="S36" i="11"/>
  <c r="S109" i="11"/>
  <c r="R95" i="11"/>
  <c r="R81" i="11"/>
  <c r="R165" i="11" s="1"/>
  <c r="S51" i="11"/>
  <c r="R23" i="11"/>
  <c r="R65" i="11" s="1"/>
  <c r="R37" i="11"/>
  <c r="T134" i="11"/>
  <c r="T135" i="11" s="1"/>
  <c r="T54" i="11"/>
  <c r="T153" i="11"/>
  <c r="S92" i="11"/>
  <c r="S89" i="11"/>
  <c r="S71" i="11"/>
  <c r="S85" i="11"/>
  <c r="S73" i="11"/>
  <c r="S87" i="11"/>
  <c r="S72" i="11"/>
  <c r="S84" i="11"/>
  <c r="S74" i="11"/>
  <c r="S88" i="11"/>
  <c r="S70" i="11"/>
  <c r="S75" i="11"/>
  <c r="S86" i="11"/>
  <c r="S76" i="11"/>
  <c r="S91" i="11"/>
  <c r="S90" i="11"/>
  <c r="S80" i="11"/>
  <c r="S77" i="11"/>
  <c r="S94" i="11"/>
  <c r="S93" i="11"/>
  <c r="S79" i="11"/>
  <c r="S78" i="11"/>
  <c r="U5" i="11"/>
  <c r="T7" i="11"/>
  <c r="U6" i="11"/>
  <c r="U40" i="11" s="1"/>
  <c r="T18" i="11" l="1"/>
  <c r="T34" i="11"/>
  <c r="T12" i="11"/>
  <c r="T26" i="11"/>
  <c r="T17" i="11"/>
  <c r="T16" i="11"/>
  <c r="T29" i="11"/>
  <c r="T19" i="11"/>
  <c r="T36" i="11"/>
  <c r="T32" i="11"/>
  <c r="T33" i="11"/>
  <c r="T22" i="11"/>
  <c r="T27" i="11"/>
  <c r="T30" i="11"/>
  <c r="T28" i="11"/>
  <c r="T14" i="11"/>
  <c r="T20" i="11"/>
  <c r="T31" i="11"/>
  <c r="T35" i="11"/>
  <c r="T15" i="11"/>
  <c r="T21" i="11"/>
  <c r="T13" i="11"/>
  <c r="S95" i="11"/>
  <c r="S81" i="11"/>
  <c r="S165" i="11" s="1"/>
  <c r="S37" i="11"/>
  <c r="S23" i="11"/>
  <c r="S65" i="11" s="1"/>
  <c r="U134" i="11"/>
  <c r="U135" i="11" s="1"/>
  <c r="U54" i="11"/>
  <c r="U153" i="11"/>
  <c r="U106" i="11"/>
  <c r="U105" i="11"/>
  <c r="U98" i="11"/>
  <c r="U100" i="11"/>
  <c r="U99" i="11"/>
  <c r="U101" i="11"/>
  <c r="U102" i="11"/>
  <c r="U107" i="11"/>
  <c r="U103" i="11"/>
  <c r="U108" i="11"/>
  <c r="U104" i="11"/>
  <c r="U50" i="11"/>
  <c r="U49" i="11"/>
  <c r="U48" i="11"/>
  <c r="U47" i="11"/>
  <c r="U46" i="11"/>
  <c r="U45" i="11"/>
  <c r="U43" i="11"/>
  <c r="U44" i="11"/>
  <c r="U41" i="11"/>
  <c r="U42" i="11"/>
  <c r="T90" i="11"/>
  <c r="T70" i="11"/>
  <c r="T72" i="11"/>
  <c r="T87" i="11"/>
  <c r="T84" i="11"/>
  <c r="T73" i="11"/>
  <c r="T86" i="11"/>
  <c r="T74" i="11"/>
  <c r="T89" i="11"/>
  <c r="T85" i="11"/>
  <c r="T71" i="11"/>
  <c r="T75" i="11"/>
  <c r="T88" i="11"/>
  <c r="T76" i="11"/>
  <c r="T92" i="11"/>
  <c r="T94" i="11"/>
  <c r="T78" i="11"/>
  <c r="T77" i="11"/>
  <c r="T79" i="11"/>
  <c r="T80" i="11"/>
  <c r="T91" i="11"/>
  <c r="T93" i="11"/>
  <c r="V5" i="11"/>
  <c r="U34" i="11" s="1"/>
  <c r="V6" i="11"/>
  <c r="V40" i="11" s="1"/>
  <c r="U7" i="11"/>
  <c r="U29" i="11" l="1"/>
  <c r="U33" i="11"/>
  <c r="U14" i="11"/>
  <c r="U26" i="11"/>
  <c r="U32" i="11"/>
  <c r="U28" i="11"/>
  <c r="U18" i="11"/>
  <c r="U17" i="11"/>
  <c r="U15" i="11"/>
  <c r="U27" i="11"/>
  <c r="U12" i="11"/>
  <c r="U19" i="11"/>
  <c r="U20" i="11"/>
  <c r="U21" i="11"/>
  <c r="U16" i="11"/>
  <c r="U22" i="11"/>
  <c r="U36" i="11"/>
  <c r="U31" i="11"/>
  <c r="U13" i="11"/>
  <c r="U35" i="11"/>
  <c r="U30" i="11"/>
  <c r="U109" i="11"/>
  <c r="T95" i="11"/>
  <c r="T81" i="11"/>
  <c r="U51" i="11"/>
  <c r="T37" i="11"/>
  <c r="T23" i="11"/>
  <c r="V134" i="11"/>
  <c r="V135" i="11" s="1"/>
  <c r="V54" i="11"/>
  <c r="V153" i="11"/>
  <c r="V99" i="11"/>
  <c r="V100" i="11"/>
  <c r="V104" i="11"/>
  <c r="V98" i="11"/>
  <c r="V105" i="11"/>
  <c r="V106" i="11"/>
  <c r="V102" i="11"/>
  <c r="V103" i="11"/>
  <c r="V108" i="11"/>
  <c r="V107" i="11"/>
  <c r="V101" i="11"/>
  <c r="V50" i="11"/>
  <c r="V49" i="11"/>
  <c r="V48" i="11"/>
  <c r="V47" i="11"/>
  <c r="V46" i="11"/>
  <c r="V45" i="11"/>
  <c r="V44" i="11"/>
  <c r="V41" i="11"/>
  <c r="V42" i="11"/>
  <c r="V43" i="11"/>
  <c r="U91" i="11"/>
  <c r="U86" i="11"/>
  <c r="U72" i="11"/>
  <c r="U85" i="11"/>
  <c r="U75" i="11"/>
  <c r="U88" i="11"/>
  <c r="U71" i="11"/>
  <c r="U89" i="11"/>
  <c r="U70" i="11"/>
  <c r="U73" i="11"/>
  <c r="U84" i="11"/>
  <c r="U74" i="11"/>
  <c r="U87" i="11"/>
  <c r="U79" i="11"/>
  <c r="U78" i="11"/>
  <c r="U94" i="11"/>
  <c r="U77" i="11"/>
  <c r="U76" i="11"/>
  <c r="U80" i="11"/>
  <c r="U90" i="11"/>
  <c r="U92" i="11"/>
  <c r="U93" i="11"/>
  <c r="W5" i="11"/>
  <c r="V7" i="11"/>
  <c r="W6" i="11"/>
  <c r="W40" i="11" s="1"/>
  <c r="V13" i="11" l="1"/>
  <c r="V30" i="11"/>
  <c r="V31" i="11"/>
  <c r="V22" i="11"/>
  <c r="V28" i="11"/>
  <c r="V33" i="11"/>
  <c r="V20" i="11"/>
  <c r="V17" i="11"/>
  <c r="V18" i="11"/>
  <c r="V19" i="11"/>
  <c r="V15" i="11"/>
  <c r="V29" i="11"/>
  <c r="V21" i="11"/>
  <c r="V12" i="11"/>
  <c r="V32" i="11"/>
  <c r="V27" i="11"/>
  <c r="V26" i="11"/>
  <c r="V34" i="11"/>
  <c r="V36" i="11"/>
  <c r="V16" i="11"/>
  <c r="V14" i="11"/>
  <c r="V35" i="11"/>
  <c r="V109" i="11"/>
  <c r="U95" i="11"/>
  <c r="U81" i="11"/>
  <c r="U165" i="11" s="1"/>
  <c r="U23" i="11"/>
  <c r="U65" i="11" s="1"/>
  <c r="V51" i="11"/>
  <c r="U37" i="11"/>
  <c r="W134" i="11"/>
  <c r="W135" i="11" s="1"/>
  <c r="W54" i="11"/>
  <c r="W153" i="11"/>
  <c r="W107" i="11"/>
  <c r="W102" i="11"/>
  <c r="W99" i="11"/>
  <c r="W108" i="11"/>
  <c r="W103" i="11"/>
  <c r="W101" i="11"/>
  <c r="W100" i="11"/>
  <c r="W98" i="11"/>
  <c r="W106" i="11"/>
  <c r="W105" i="11"/>
  <c r="W104" i="11"/>
  <c r="W50" i="11"/>
  <c r="W49" i="11"/>
  <c r="W48" i="11"/>
  <c r="W47" i="11"/>
  <c r="W44" i="11"/>
  <c r="W41" i="11"/>
  <c r="W42" i="11"/>
  <c r="W45" i="11"/>
  <c r="W46" i="11"/>
  <c r="W43" i="11"/>
  <c r="V80" i="11"/>
  <c r="V86" i="11"/>
  <c r="V72" i="11"/>
  <c r="V73" i="11"/>
  <c r="V70" i="11"/>
  <c r="V84" i="11"/>
  <c r="V85" i="11"/>
  <c r="V74" i="11"/>
  <c r="V89" i="11"/>
  <c r="V88" i="11"/>
  <c r="V71" i="11"/>
  <c r="V75" i="11"/>
  <c r="V87" i="11"/>
  <c r="V79" i="11"/>
  <c r="V77" i="11"/>
  <c r="V90" i="11"/>
  <c r="V92" i="11"/>
  <c r="V76" i="11"/>
  <c r="V78" i="11"/>
  <c r="V93" i="11"/>
  <c r="V91" i="11"/>
  <c r="V94" i="11"/>
  <c r="X5" i="11"/>
  <c r="X6" i="11"/>
  <c r="X40" i="11" s="1"/>
  <c r="W7" i="11"/>
  <c r="W34" i="11" l="1"/>
  <c r="W33" i="11"/>
  <c r="W36" i="11"/>
  <c r="W30" i="11"/>
  <c r="W20" i="11"/>
  <c r="W32" i="11"/>
  <c r="W15" i="11"/>
  <c r="W18" i="11"/>
  <c r="W35" i="11"/>
  <c r="W31" i="11"/>
  <c r="W12" i="11"/>
  <c r="W13" i="11"/>
  <c r="W28" i="11"/>
  <c r="W26" i="11"/>
  <c r="W19" i="11"/>
  <c r="W29" i="11"/>
  <c r="W21" i="11"/>
  <c r="W22" i="11"/>
  <c r="W14" i="11"/>
  <c r="W17" i="11"/>
  <c r="W16" i="11"/>
  <c r="W27" i="11"/>
  <c r="W109" i="11"/>
  <c r="V95" i="11"/>
  <c r="V81" i="11"/>
  <c r="V165" i="11" s="1"/>
  <c r="V23" i="11"/>
  <c r="V65" i="11" s="1"/>
  <c r="W51" i="11"/>
  <c r="V37" i="11"/>
  <c r="X134" i="11"/>
  <c r="X135" i="11" s="1"/>
  <c r="X54" i="11"/>
  <c r="X153" i="11"/>
  <c r="X105" i="11"/>
  <c r="X101" i="11"/>
  <c r="X108" i="11"/>
  <c r="X99" i="11"/>
  <c r="X106" i="11"/>
  <c r="X98" i="11"/>
  <c r="X103" i="11"/>
  <c r="X102" i="11"/>
  <c r="X104" i="11"/>
  <c r="X107" i="11"/>
  <c r="X100" i="11"/>
  <c r="X50" i="11"/>
  <c r="X49" i="11"/>
  <c r="X48" i="11"/>
  <c r="X47" i="11"/>
  <c r="X46" i="11"/>
  <c r="X45" i="11"/>
  <c r="X44" i="11"/>
  <c r="X43" i="11"/>
  <c r="X42" i="11"/>
  <c r="X41" i="11"/>
  <c r="W74" i="11"/>
  <c r="W91" i="11"/>
  <c r="W86" i="11"/>
  <c r="W94" i="11"/>
  <c r="W77" i="11"/>
  <c r="W78" i="11"/>
  <c r="W93" i="11"/>
  <c r="W73" i="11"/>
  <c r="W88" i="11"/>
  <c r="W72" i="11"/>
  <c r="W84" i="11"/>
  <c r="W89" i="11"/>
  <c r="W80" i="11"/>
  <c r="W76" i="11"/>
  <c r="W71" i="11"/>
  <c r="W87" i="11"/>
  <c r="W92" i="11"/>
  <c r="W90" i="11"/>
  <c r="W75" i="11"/>
  <c r="W70" i="11"/>
  <c r="W85" i="11"/>
  <c r="W79" i="11"/>
  <c r="Y5" i="11"/>
  <c r="X33" i="11" s="1"/>
  <c r="X7" i="11"/>
  <c r="Y6" i="11"/>
  <c r="Y40" i="11" s="1"/>
  <c r="X27" i="11" l="1"/>
  <c r="X12" i="11"/>
  <c r="X32" i="11"/>
  <c r="X17" i="11"/>
  <c r="X15" i="11"/>
  <c r="X16" i="11"/>
  <c r="X31" i="11"/>
  <c r="X13" i="11"/>
  <c r="X22" i="11"/>
  <c r="X19" i="11"/>
  <c r="X30" i="11"/>
  <c r="X29" i="11"/>
  <c r="X34" i="11"/>
  <c r="X35" i="11"/>
  <c r="X36" i="11"/>
  <c r="X18" i="11"/>
  <c r="X14" i="11"/>
  <c r="X20" i="11"/>
  <c r="X21" i="11"/>
  <c r="X26" i="11"/>
  <c r="X28" i="11"/>
  <c r="W81" i="11"/>
  <c r="W165" i="11" s="1"/>
  <c r="X109" i="11"/>
  <c r="W95" i="11"/>
  <c r="X51" i="11"/>
  <c r="W23" i="11"/>
  <c r="W65" i="11" s="1"/>
  <c r="W37" i="11"/>
  <c r="Y134" i="11"/>
  <c r="Y135" i="11" s="1"/>
  <c r="Y54" i="11"/>
  <c r="Y153" i="11"/>
  <c r="Y104" i="11"/>
  <c r="Y102" i="11"/>
  <c r="Y108" i="11"/>
  <c r="Y103" i="11"/>
  <c r="Y98" i="11"/>
  <c r="Y100" i="11"/>
  <c r="Y105" i="11"/>
  <c r="Y106" i="11"/>
  <c r="Y99" i="11"/>
  <c r="Y107" i="11"/>
  <c r="Y101" i="11"/>
  <c r="Y50" i="11"/>
  <c r="Y49" i="11"/>
  <c r="Y48" i="11"/>
  <c r="Y47" i="11"/>
  <c r="Y46" i="11"/>
  <c r="Y45" i="11"/>
  <c r="Y44" i="11"/>
  <c r="Y42" i="11"/>
  <c r="Y43" i="11"/>
  <c r="Y41" i="11"/>
  <c r="X77" i="11"/>
  <c r="X75" i="11"/>
  <c r="X88" i="11"/>
  <c r="X71" i="11"/>
  <c r="X87" i="11"/>
  <c r="X72" i="11"/>
  <c r="X89" i="11"/>
  <c r="X70" i="11"/>
  <c r="X73" i="11"/>
  <c r="X84" i="11"/>
  <c r="X86" i="11"/>
  <c r="X74" i="11"/>
  <c r="X85" i="11"/>
  <c r="X92" i="11"/>
  <c r="X91" i="11"/>
  <c r="X78" i="11"/>
  <c r="X93" i="11"/>
  <c r="X90" i="11"/>
  <c r="X76" i="11"/>
  <c r="X94" i="11"/>
  <c r="X80" i="11"/>
  <c r="X79" i="11"/>
  <c r="Z5" i="11"/>
  <c r="Y32" i="11" s="1"/>
  <c r="Y7" i="11"/>
  <c r="Z6" i="11"/>
  <c r="Z40" i="11" s="1"/>
  <c r="Y19" i="11" l="1"/>
  <c r="Y18" i="11"/>
  <c r="Y20" i="11"/>
  <c r="Y12" i="11"/>
  <c r="Y26" i="11"/>
  <c r="Y16" i="11"/>
  <c r="Y17" i="11"/>
  <c r="Y14" i="11"/>
  <c r="Y33" i="11"/>
  <c r="Y15" i="11"/>
  <c r="Y34" i="11"/>
  <c r="Y27" i="11"/>
  <c r="Y22" i="11"/>
  <c r="Y21" i="11"/>
  <c r="Y28" i="11"/>
  <c r="Z29" i="11"/>
  <c r="Z26" i="11"/>
  <c r="Z31" i="11"/>
  <c r="Z35" i="11"/>
  <c r="Z15" i="11"/>
  <c r="Z27" i="11"/>
  <c r="Z30" i="11"/>
  <c r="Z16" i="11"/>
  <c r="Z19" i="11"/>
  <c r="Z32" i="11"/>
  <c r="Z34" i="11"/>
  <c r="Z13" i="11"/>
  <c r="Z18" i="11"/>
  <c r="Z17" i="11"/>
  <c r="Z21" i="11"/>
  <c r="Z36" i="11"/>
  <c r="Z14" i="11"/>
  <c r="Z22" i="11"/>
  <c r="Z28" i="11"/>
  <c r="Z12" i="11"/>
  <c r="Z20" i="11"/>
  <c r="Z33" i="11"/>
  <c r="Y31" i="11"/>
  <c r="Y29" i="11"/>
  <c r="Y35" i="11"/>
  <c r="Y36" i="11"/>
  <c r="Y13" i="11"/>
  <c r="Y30" i="11"/>
  <c r="Y109" i="11"/>
  <c r="X95" i="11"/>
  <c r="X81" i="11"/>
  <c r="X165" i="11" s="1"/>
  <c r="Y51" i="11"/>
  <c r="X37" i="11"/>
  <c r="X23" i="11"/>
  <c r="X65" i="11" s="1"/>
  <c r="Z134" i="11"/>
  <c r="Z54" i="11"/>
  <c r="Z153" i="11"/>
  <c r="E157" i="11"/>
  <c r="E155" i="11"/>
  <c r="E55" i="11"/>
  <c r="E159" i="11"/>
  <c r="E57" i="11"/>
  <c r="E59" i="11"/>
  <c r="Z108" i="11"/>
  <c r="Z105" i="11"/>
  <c r="Z99" i="11"/>
  <c r="Z101" i="11"/>
  <c r="Z104" i="11"/>
  <c r="Z103" i="11"/>
  <c r="Z107" i="11"/>
  <c r="Z100" i="11"/>
  <c r="Z106" i="11"/>
  <c r="Z98" i="11"/>
  <c r="Z102" i="11"/>
  <c r="Z50" i="11"/>
  <c r="Z49" i="11"/>
  <c r="Z48" i="11"/>
  <c r="Z47" i="11"/>
  <c r="Z46" i="11"/>
  <c r="Z45" i="11"/>
  <c r="Z44" i="11"/>
  <c r="Z43" i="11"/>
  <c r="Z42" i="11"/>
  <c r="Z41" i="11"/>
  <c r="Y88" i="11"/>
  <c r="Y74" i="11"/>
  <c r="Y87" i="11"/>
  <c r="Y78" i="11"/>
  <c r="Y90" i="11"/>
  <c r="Y71" i="11"/>
  <c r="Y75" i="11"/>
  <c r="Z86" i="11"/>
  <c r="Z84" i="11"/>
  <c r="Z75" i="11"/>
  <c r="Z74" i="11"/>
  <c r="Z73" i="11"/>
  <c r="Z72" i="11"/>
  <c r="Z71" i="11"/>
  <c r="Z70" i="11"/>
  <c r="Z89" i="11"/>
  <c r="Z87" i="11"/>
  <c r="Z88" i="11"/>
  <c r="Z85" i="11"/>
  <c r="Y72" i="11"/>
  <c r="Y85" i="11"/>
  <c r="Y89" i="11"/>
  <c r="Y70" i="11"/>
  <c r="Y73" i="11"/>
  <c r="Y84" i="11"/>
  <c r="Y86" i="11"/>
  <c r="Y76" i="11"/>
  <c r="Y77" i="11"/>
  <c r="Y91" i="11"/>
  <c r="Y93" i="11"/>
  <c r="Y79" i="11"/>
  <c r="Y92" i="11"/>
  <c r="Y80" i="11"/>
  <c r="Y94" i="11"/>
  <c r="Z92" i="11"/>
  <c r="Z94" i="11"/>
  <c r="Z91" i="11"/>
  <c r="E91" i="11" s="1"/>
  <c r="Z93" i="11"/>
  <c r="Z90" i="11"/>
  <c r="Z80" i="11"/>
  <c r="Z78" i="11"/>
  <c r="Z77" i="11"/>
  <c r="Z76" i="11"/>
  <c r="Z79" i="11"/>
  <c r="Z7" i="11"/>
  <c r="E12" i="11" l="1"/>
  <c r="E17" i="11"/>
  <c r="E80" i="11"/>
  <c r="M40" i="11"/>
  <c r="T40" i="11"/>
  <c r="E76" i="11"/>
  <c r="M104" i="11" s="1"/>
  <c r="E134" i="11"/>
  <c r="E135" i="11" s="1"/>
  <c r="Z135" i="11"/>
  <c r="Z109" i="11"/>
  <c r="Z95" i="11"/>
  <c r="Z81" i="11"/>
  <c r="Y95" i="11"/>
  <c r="Y81" i="11"/>
  <c r="Y165" i="11" s="1"/>
  <c r="E54" i="11"/>
  <c r="Y23" i="11"/>
  <c r="Y65" i="11" s="1"/>
  <c r="Z51" i="11"/>
  <c r="Z23" i="11"/>
  <c r="Y37" i="11"/>
  <c r="D134" i="11"/>
  <c r="E75" i="11"/>
  <c r="M103" i="11" s="1"/>
  <c r="Z37" i="11"/>
  <c r="E27" i="11"/>
  <c r="E30" i="11"/>
  <c r="E32" i="11"/>
  <c r="E153" i="11"/>
  <c r="E31" i="11"/>
  <c r="E28" i="11"/>
  <c r="E36" i="11"/>
  <c r="E90" i="11"/>
  <c r="E88" i="11"/>
  <c r="E19" i="11"/>
  <c r="T47" i="11" s="1"/>
  <c r="E74" i="11"/>
  <c r="M102" i="11" s="1"/>
  <c r="E26" i="11"/>
  <c r="E79" i="11"/>
  <c r="T107" i="11" s="1"/>
  <c r="E13" i="11"/>
  <c r="T41" i="11" s="1"/>
  <c r="E34" i="11"/>
  <c r="E35" i="11"/>
  <c r="E72" i="11"/>
  <c r="T100" i="11" s="1"/>
  <c r="E84" i="11"/>
  <c r="E21" i="11"/>
  <c r="M49" i="11" s="1"/>
  <c r="E87" i="11"/>
  <c r="E14" i="11"/>
  <c r="E78" i="11"/>
  <c r="E22" i="11"/>
  <c r="E85" i="11"/>
  <c r="E33" i="11"/>
  <c r="E89" i="11"/>
  <c r="E71" i="11"/>
  <c r="M108" i="11"/>
  <c r="T108" i="11"/>
  <c r="M45" i="11"/>
  <c r="T45" i="11"/>
  <c r="E94" i="11"/>
  <c r="E16" i="11"/>
  <c r="E70" i="11"/>
  <c r="E73" i="11"/>
  <c r="E20" i="11"/>
  <c r="E15" i="11"/>
  <c r="E77" i="11"/>
  <c r="E93" i="11"/>
  <c r="E29" i="11"/>
  <c r="E92" i="11"/>
  <c r="E18" i="11"/>
  <c r="E86" i="11"/>
  <c r="D123" i="11"/>
  <c r="D155" i="11"/>
  <c r="D55" i="11"/>
  <c r="D157" i="11"/>
  <c r="D153" i="11"/>
  <c r="D159" i="11"/>
  <c r="D59" i="11"/>
  <c r="D54" i="11"/>
  <c r="D57" i="11"/>
  <c r="D21" i="11"/>
  <c r="D32" i="11"/>
  <c r="D117" i="11"/>
  <c r="D33" i="11"/>
  <c r="D12" i="11"/>
  <c r="D132" i="11"/>
  <c r="D34" i="11"/>
  <c r="D35" i="11"/>
  <c r="D13" i="11"/>
  <c r="D16" i="11"/>
  <c r="D36" i="11"/>
  <c r="D70" i="11"/>
  <c r="D22" i="11"/>
  <c r="D20" i="11"/>
  <c r="D19" i="11"/>
  <c r="D18" i="11"/>
  <c r="D79" i="11"/>
  <c r="D90" i="11"/>
  <c r="D75" i="11"/>
  <c r="D88" i="11"/>
  <c r="D120" i="11"/>
  <c r="D15" i="11"/>
  <c r="D26" i="11"/>
  <c r="D126" i="11"/>
  <c r="D86" i="11"/>
  <c r="D14" i="11"/>
  <c r="D28" i="11"/>
  <c r="D76" i="11"/>
  <c r="D77" i="11"/>
  <c r="D93" i="11"/>
  <c r="D89" i="11"/>
  <c r="D91" i="11"/>
  <c r="D78" i="11"/>
  <c r="D84" i="11"/>
  <c r="D85" i="11"/>
  <c r="D94" i="11"/>
  <c r="D92" i="11"/>
  <c r="D80" i="11"/>
  <c r="D87" i="11"/>
  <c r="D29" i="11"/>
  <c r="D73" i="11"/>
  <c r="D72" i="11"/>
  <c r="D74" i="11"/>
  <c r="D71" i="11"/>
  <c r="D27" i="11"/>
  <c r="D30" i="11"/>
  <c r="D17" i="11"/>
  <c r="D31" i="11"/>
  <c r="Z165" i="11" l="1"/>
  <c r="Z65" i="11"/>
  <c r="D135" i="11"/>
  <c r="T104" i="11"/>
  <c r="E104" i="11" s="1"/>
  <c r="M100" i="11"/>
  <c r="D100" i="11" s="1"/>
  <c r="E154" i="11"/>
  <c r="D95" i="11"/>
  <c r="E95" i="11"/>
  <c r="E17" i="4"/>
  <c r="E81" i="11"/>
  <c r="D81" i="11"/>
  <c r="M47" i="11"/>
  <c r="D47" i="11" s="1"/>
  <c r="D37" i="11"/>
  <c r="D23" i="11"/>
  <c r="T103" i="11"/>
  <c r="E103" i="11" s="1"/>
  <c r="E37" i="11"/>
  <c r="E23" i="11"/>
  <c r="D154" i="11"/>
  <c r="M41" i="11"/>
  <c r="D41" i="11" s="1"/>
  <c r="M107" i="11"/>
  <c r="E107" i="11" s="1"/>
  <c r="T49" i="11"/>
  <c r="E49" i="11" s="1"/>
  <c r="T102" i="11"/>
  <c r="D102" i="11" s="1"/>
  <c r="E45" i="11"/>
  <c r="D45" i="11"/>
  <c r="E108" i="11"/>
  <c r="M46" i="11"/>
  <c r="T46" i="11"/>
  <c r="M43" i="11"/>
  <c r="T43" i="11"/>
  <c r="M101" i="11"/>
  <c r="T101" i="11"/>
  <c r="M48" i="11"/>
  <c r="T48" i="11"/>
  <c r="M98" i="11"/>
  <c r="T98" i="11"/>
  <c r="M99" i="11"/>
  <c r="T99" i="11"/>
  <c r="M50" i="11"/>
  <c r="T50" i="11"/>
  <c r="M42" i="11"/>
  <c r="T42" i="11"/>
  <c r="D108" i="11"/>
  <c r="M44" i="11"/>
  <c r="T44" i="11"/>
  <c r="M106" i="11"/>
  <c r="T106" i="11"/>
  <c r="M105" i="11"/>
  <c r="T105" i="11"/>
  <c r="F13" i="4"/>
  <c r="C12" i="4"/>
  <c r="E13" i="4"/>
  <c r="B12" i="4"/>
  <c r="D104" i="11" l="1"/>
  <c r="E100" i="11"/>
  <c r="F17" i="4"/>
  <c r="M109" i="11"/>
  <c r="M165" i="11" s="1"/>
  <c r="T109" i="11"/>
  <c r="T165" i="11" s="1"/>
  <c r="D103" i="11"/>
  <c r="E47" i="11"/>
  <c r="M51" i="11"/>
  <c r="M65" i="11" s="1"/>
  <c r="T51" i="11"/>
  <c r="T65" i="11" s="1"/>
  <c r="E41" i="11"/>
  <c r="D49" i="11"/>
  <c r="D107" i="11"/>
  <c r="E102" i="11"/>
  <c r="D101" i="11"/>
  <c r="E101" i="11"/>
  <c r="E106" i="11"/>
  <c r="D106" i="11"/>
  <c r="D50" i="11"/>
  <c r="E50" i="11"/>
  <c r="D48" i="11"/>
  <c r="E48" i="11"/>
  <c r="E98" i="11"/>
  <c r="D98" i="11"/>
  <c r="E40" i="11"/>
  <c r="D40" i="11"/>
  <c r="E43" i="11"/>
  <c r="D43" i="11"/>
  <c r="D44" i="11"/>
  <c r="E44" i="11"/>
  <c r="D105" i="11"/>
  <c r="E105" i="11"/>
  <c r="E42" i="11"/>
  <c r="D42" i="11"/>
  <c r="E99" i="11"/>
  <c r="D99" i="11"/>
  <c r="E46" i="11"/>
  <c r="D46" i="11"/>
  <c r="Y51" i="2"/>
  <c r="Y52" i="2" s="1"/>
  <c r="X51" i="2"/>
  <c r="X52" i="2" s="1"/>
  <c r="W51" i="2"/>
  <c r="W52" i="2" s="1"/>
  <c r="V51" i="2"/>
  <c r="V52" i="2" s="1"/>
  <c r="U51" i="2"/>
  <c r="U52" i="2" s="1"/>
  <c r="T51" i="2"/>
  <c r="T52" i="2" s="1"/>
  <c r="S51" i="2"/>
  <c r="S52" i="2" s="1"/>
  <c r="R51" i="2"/>
  <c r="R52" i="2" s="1"/>
  <c r="Q51" i="2"/>
  <c r="Q52" i="2" s="1"/>
  <c r="P51" i="2"/>
  <c r="P52" i="2" s="1"/>
  <c r="O51" i="2"/>
  <c r="O52" i="2" s="1"/>
  <c r="N51" i="2"/>
  <c r="N52" i="2" s="1"/>
  <c r="M51" i="2"/>
  <c r="M52" i="2" s="1"/>
  <c r="L51" i="2"/>
  <c r="L52" i="2" s="1"/>
  <c r="K51" i="2"/>
  <c r="K52" i="2" s="1"/>
  <c r="J51" i="2"/>
  <c r="J52" i="2" s="1"/>
  <c r="I51" i="2"/>
  <c r="I52" i="2" s="1"/>
  <c r="H51" i="2"/>
  <c r="H52" i="2" s="1"/>
  <c r="G51" i="2"/>
  <c r="G52" i="2" s="1"/>
  <c r="F51" i="2"/>
  <c r="F52" i="2" s="1"/>
  <c r="C15" i="8"/>
  <c r="B15" i="8"/>
  <c r="D109" i="11" l="1"/>
  <c r="E109" i="11"/>
  <c r="E51" i="11"/>
  <c r="D51" i="11"/>
  <c r="B14" i="4"/>
  <c r="C14" i="4"/>
  <c r="F77" i="2"/>
  <c r="D25" i="3"/>
  <c r="D26" i="3" s="1"/>
  <c r="F78" i="2" l="1"/>
  <c r="D33" i="3"/>
  <c r="D34" i="3" s="1"/>
  <c r="F81" i="2" s="1"/>
  <c r="D29" i="3"/>
  <c r="D30" i="3" s="1"/>
  <c r="F73" i="2" s="1"/>
  <c r="F26" i="2" l="1"/>
  <c r="F68" i="2"/>
  <c r="F63" i="2" s="1"/>
  <c r="F46" i="2" l="1"/>
  <c r="F22" i="2"/>
  <c r="F23" i="2" s="1"/>
  <c r="G61" i="11" s="1"/>
  <c r="G63" i="11" s="1"/>
  <c r="F64" i="2"/>
  <c r="G161" i="11" s="1"/>
  <c r="F102" i="2"/>
  <c r="F41" i="2" l="1"/>
  <c r="F44" i="2" s="1"/>
  <c r="F79" i="2"/>
  <c r="F80" i="2" s="1"/>
  <c r="F45" i="2" l="1"/>
  <c r="H13" i="2"/>
  <c r="H14" i="2" s="1"/>
  <c r="X13" i="2"/>
  <c r="X14" i="2" s="1"/>
  <c r="T13" i="2"/>
  <c r="T14" i="2" s="1"/>
  <c r="L13" i="2"/>
  <c r="L14" i="2" s="1"/>
  <c r="P13" i="2"/>
  <c r="P14" i="2" s="1"/>
  <c r="I13" i="2"/>
  <c r="I14" i="2" s="1"/>
  <c r="M13" i="2"/>
  <c r="M14" i="2" s="1"/>
  <c r="Q13" i="2"/>
  <c r="Q14" i="2" s="1"/>
  <c r="U13" i="2"/>
  <c r="U14" i="2" s="1"/>
  <c r="Y13" i="2"/>
  <c r="Y14" i="2" s="1"/>
  <c r="F13" i="2"/>
  <c r="F14" i="2" s="1"/>
  <c r="J13" i="2"/>
  <c r="J14" i="2" s="1"/>
  <c r="N13" i="2"/>
  <c r="N14" i="2" s="1"/>
  <c r="R13" i="2"/>
  <c r="R14" i="2" s="1"/>
  <c r="V13" i="2"/>
  <c r="V14" i="2" s="1"/>
  <c r="G13" i="2"/>
  <c r="G14" i="2" s="1"/>
  <c r="K13" i="2"/>
  <c r="K14" i="2" s="1"/>
  <c r="O13" i="2"/>
  <c r="O14" i="2" s="1"/>
  <c r="S13" i="2"/>
  <c r="S14" i="2" s="1"/>
  <c r="W13" i="2"/>
  <c r="W14" i="2" s="1"/>
  <c r="F6" i="2" l="1"/>
  <c r="G5" i="2" l="1"/>
  <c r="G4" i="2"/>
  <c r="H4" i="2" s="1"/>
  <c r="I4" i="2" s="1"/>
  <c r="J4" i="2" s="1"/>
  <c r="K4" i="2" s="1"/>
  <c r="L4" i="2" s="1"/>
  <c r="M4" i="2" s="1"/>
  <c r="N4" i="2" s="1"/>
  <c r="O4" i="2" s="1"/>
  <c r="P4" i="2" s="1"/>
  <c r="Q4" i="2" s="1"/>
  <c r="R4" i="2" s="1"/>
  <c r="S4" i="2" s="1"/>
  <c r="T4" i="2" s="1"/>
  <c r="U4" i="2" s="1"/>
  <c r="V4" i="2" s="1"/>
  <c r="W4" i="2" s="1"/>
  <c r="X4" i="2" s="1"/>
  <c r="Y4" i="2" s="1"/>
  <c r="G19" i="2" l="1"/>
  <c r="G60" i="2"/>
  <c r="G55" i="2"/>
  <c r="G56" i="2" s="1"/>
  <c r="G18" i="2"/>
  <c r="G25" i="2"/>
  <c r="G66" i="2"/>
  <c r="G67" i="2" s="1"/>
  <c r="G76" i="2"/>
  <c r="G77" i="2" s="1"/>
  <c r="G15" i="2"/>
  <c r="G31" i="2"/>
  <c r="G32" i="2" s="1"/>
  <c r="G33" i="2" s="1"/>
  <c r="E37" i="3" s="1"/>
  <c r="G85" i="2"/>
  <c r="G71" i="2"/>
  <c r="G72" i="2" s="1"/>
  <c r="G92" i="2"/>
  <c r="G36" i="2"/>
  <c r="H5" i="2"/>
  <c r="G6" i="2"/>
  <c r="H19" i="2" l="1"/>
  <c r="H60" i="2"/>
  <c r="H55" i="2"/>
  <c r="H56" i="2" s="1"/>
  <c r="H18" i="2"/>
  <c r="H66" i="2"/>
  <c r="H67" i="2" s="1"/>
  <c r="H25" i="2"/>
  <c r="H76" i="2"/>
  <c r="H77" i="2" s="1"/>
  <c r="H15" i="2"/>
  <c r="H31" i="2"/>
  <c r="H32" i="2" s="1"/>
  <c r="H85" i="2"/>
  <c r="G86" i="2"/>
  <c r="G89" i="2" s="1"/>
  <c r="G93" i="2"/>
  <c r="G37" i="2"/>
  <c r="H71" i="2"/>
  <c r="H72" i="2" s="1"/>
  <c r="G78" i="2"/>
  <c r="E33" i="3"/>
  <c r="E34" i="3" s="1"/>
  <c r="G81" i="2" s="1"/>
  <c r="E29" i="3"/>
  <c r="E30" i="3" s="1"/>
  <c r="G73" i="2" s="1"/>
  <c r="E25" i="3"/>
  <c r="E26" i="3" s="1"/>
  <c r="I5" i="2"/>
  <c r="I19" i="2" s="1"/>
  <c r="H92" i="2"/>
  <c r="H36" i="2"/>
  <c r="H6" i="2"/>
  <c r="I60" i="2" l="1"/>
  <c r="H33" i="2"/>
  <c r="F37" i="3" s="1"/>
  <c r="I55" i="2"/>
  <c r="I56" i="2" s="1"/>
  <c r="I18" i="2"/>
  <c r="I66" i="2"/>
  <c r="I67" i="2" s="1"/>
  <c r="I25" i="2"/>
  <c r="I76" i="2"/>
  <c r="I77" i="2" s="1"/>
  <c r="I78" i="2" s="1"/>
  <c r="I15" i="2"/>
  <c r="H37" i="2"/>
  <c r="I31" i="2"/>
  <c r="I32" i="2" s="1"/>
  <c r="I85" i="2"/>
  <c r="E41" i="3"/>
  <c r="E42" i="3" s="1"/>
  <c r="E38" i="3"/>
  <c r="G94" i="2"/>
  <c r="H86" i="2"/>
  <c r="H89" i="2" s="1"/>
  <c r="G38" i="2"/>
  <c r="H93" i="2"/>
  <c r="G26" i="2"/>
  <c r="G68" i="2"/>
  <c r="G63" i="2" s="1"/>
  <c r="I71" i="2"/>
  <c r="I72" i="2" s="1"/>
  <c r="I6" i="2"/>
  <c r="I36" i="2"/>
  <c r="J5" i="2"/>
  <c r="J19" i="2" s="1"/>
  <c r="H78" i="2"/>
  <c r="F33" i="3"/>
  <c r="F34" i="3" s="1"/>
  <c r="H81" i="2" s="1"/>
  <c r="F29" i="3"/>
  <c r="F30" i="3" s="1"/>
  <c r="H73" i="2" s="1"/>
  <c r="F25" i="3"/>
  <c r="F26" i="3" s="1"/>
  <c r="I92" i="2"/>
  <c r="J60" i="2" l="1"/>
  <c r="G22" i="2"/>
  <c r="K60" i="2"/>
  <c r="I33" i="2"/>
  <c r="G37" i="3" s="1"/>
  <c r="J55" i="2"/>
  <c r="J56" i="2" s="1"/>
  <c r="J18" i="2"/>
  <c r="J25" i="2"/>
  <c r="J66" i="2"/>
  <c r="J76" i="2"/>
  <c r="J77" i="2" s="1"/>
  <c r="H33" i="3" s="1"/>
  <c r="J15" i="2"/>
  <c r="H38" i="2"/>
  <c r="J31" i="2"/>
  <c r="J32" i="2" s="1"/>
  <c r="J85" i="2"/>
  <c r="I93" i="2"/>
  <c r="I94" i="2" s="1"/>
  <c r="F41" i="3"/>
  <c r="F42" i="3" s="1"/>
  <c r="H90" i="2" s="1"/>
  <c r="G90" i="2"/>
  <c r="G102" i="2" s="1"/>
  <c r="F38" i="3"/>
  <c r="H94" i="2"/>
  <c r="I86" i="2"/>
  <c r="I89" i="2" s="1"/>
  <c r="I37" i="2"/>
  <c r="G34" i="2"/>
  <c r="K5" i="2"/>
  <c r="K19" i="2" s="1"/>
  <c r="H26" i="2"/>
  <c r="H68" i="2"/>
  <c r="H63" i="2" s="1"/>
  <c r="G25" i="3"/>
  <c r="G26" i="3" s="1"/>
  <c r="I68" i="2" s="1"/>
  <c r="J71" i="2"/>
  <c r="J36" i="2"/>
  <c r="G33" i="3"/>
  <c r="G34" i="3" s="1"/>
  <c r="I81" i="2" s="1"/>
  <c r="J92" i="2"/>
  <c r="G29" i="3"/>
  <c r="G30" i="3" s="1"/>
  <c r="I73" i="2" s="1"/>
  <c r="J6" i="2"/>
  <c r="H22" i="2" l="1"/>
  <c r="I63" i="2"/>
  <c r="J33" i="2"/>
  <c r="H37" i="3" s="1"/>
  <c r="G64" i="2"/>
  <c r="H102" i="2"/>
  <c r="G46" i="2"/>
  <c r="J72" i="2"/>
  <c r="J67" i="2"/>
  <c r="K55" i="2"/>
  <c r="K56" i="2" s="1"/>
  <c r="K18" i="2"/>
  <c r="K66" i="2"/>
  <c r="K25" i="2"/>
  <c r="K76" i="2"/>
  <c r="K77" i="2" s="1"/>
  <c r="I33" i="3" s="1"/>
  <c r="K15" i="2"/>
  <c r="G23" i="2"/>
  <c r="H61" i="11" s="1"/>
  <c r="H63" i="11" s="1"/>
  <c r="G38" i="3"/>
  <c r="K85" i="2"/>
  <c r="G41" i="3"/>
  <c r="G42" i="3" s="1"/>
  <c r="J86" i="2"/>
  <c r="J89" i="2" s="1"/>
  <c r="H34" i="2"/>
  <c r="I38" i="2"/>
  <c r="K6" i="2"/>
  <c r="K31" i="2"/>
  <c r="K32" i="2" s="1"/>
  <c r="J93" i="2"/>
  <c r="J37" i="2"/>
  <c r="K71" i="2"/>
  <c r="L5" i="2"/>
  <c r="L19" i="2" s="1"/>
  <c r="K36" i="2"/>
  <c r="K92" i="2"/>
  <c r="I26" i="2"/>
  <c r="H34" i="3"/>
  <c r="J81" i="2" s="1"/>
  <c r="J78" i="2"/>
  <c r="L60" i="2" l="1"/>
  <c r="I22" i="2"/>
  <c r="H161" i="11"/>
  <c r="G41" i="2"/>
  <c r="G44" i="2" s="1"/>
  <c r="K33" i="2"/>
  <c r="I37" i="3" s="1"/>
  <c r="H64" i="2"/>
  <c r="I161" i="11" s="1"/>
  <c r="H41" i="2"/>
  <c r="H46" i="2"/>
  <c r="K72" i="2"/>
  <c r="H29" i="3"/>
  <c r="H30" i="3" s="1"/>
  <c r="J73" i="2" s="1"/>
  <c r="K67" i="2"/>
  <c r="H25" i="3"/>
  <c r="H26" i="3" s="1"/>
  <c r="J68" i="2" s="1"/>
  <c r="L55" i="2"/>
  <c r="L56" i="2" s="1"/>
  <c r="L18" i="2"/>
  <c r="L25" i="2"/>
  <c r="L66" i="2"/>
  <c r="L76" i="2"/>
  <c r="L77" i="2" s="1"/>
  <c r="J33" i="3" s="1"/>
  <c r="L15" i="2"/>
  <c r="H23" i="2"/>
  <c r="L92" i="2"/>
  <c r="K37" i="2"/>
  <c r="L85" i="2"/>
  <c r="H41" i="3"/>
  <c r="H42" i="3" s="1"/>
  <c r="J90" i="2" s="1"/>
  <c r="I90" i="2"/>
  <c r="I102" i="2" s="1"/>
  <c r="H38" i="3"/>
  <c r="I64" i="2"/>
  <c r="J161" i="11" s="1"/>
  <c r="L31" i="2"/>
  <c r="L32" i="2" s="1"/>
  <c r="J94" i="2"/>
  <c r="K86" i="2"/>
  <c r="K89" i="2" s="1"/>
  <c r="I34" i="2"/>
  <c r="J38" i="2"/>
  <c r="I19" i="4"/>
  <c r="K93" i="2"/>
  <c r="L36" i="2"/>
  <c r="K78" i="2"/>
  <c r="L71" i="2"/>
  <c r="L72" i="2" s="1"/>
  <c r="L6" i="2"/>
  <c r="M5" i="2"/>
  <c r="M19" i="2" s="1"/>
  <c r="I34" i="3"/>
  <c r="K81" i="2" s="1"/>
  <c r="G79" i="2"/>
  <c r="G80" i="2" s="1"/>
  <c r="G45" i="2" l="1"/>
  <c r="M60" i="2"/>
  <c r="H44" i="2"/>
  <c r="J63" i="2"/>
  <c r="L33" i="2"/>
  <c r="J37" i="3" s="1"/>
  <c r="J102" i="2"/>
  <c r="I46" i="2"/>
  <c r="G42" i="2"/>
  <c r="I61" i="11"/>
  <c r="I63" i="11" s="1"/>
  <c r="H45" i="2" s="1"/>
  <c r="H64" i="11"/>
  <c r="J26" i="2"/>
  <c r="I29" i="3"/>
  <c r="I30" i="3" s="1"/>
  <c r="K73" i="2" s="1"/>
  <c r="L67" i="2"/>
  <c r="I25" i="3"/>
  <c r="I26" i="3" s="1"/>
  <c r="K68" i="2" s="1"/>
  <c r="K38" i="2"/>
  <c r="M55" i="2"/>
  <c r="M56" i="2" s="1"/>
  <c r="M18" i="2"/>
  <c r="M25" i="2"/>
  <c r="M66" i="2"/>
  <c r="M76" i="2"/>
  <c r="M77" i="2" s="1"/>
  <c r="K33" i="3" s="1"/>
  <c r="M15" i="2"/>
  <c r="I23" i="2"/>
  <c r="L93" i="2"/>
  <c r="L94" i="2" s="1"/>
  <c r="M31" i="2"/>
  <c r="M32" i="2" s="1"/>
  <c r="M85" i="2"/>
  <c r="M86" i="2" s="1"/>
  <c r="M89" i="2" s="1"/>
  <c r="I41" i="3"/>
  <c r="I42" i="3" s="1"/>
  <c r="K90" i="2" s="1"/>
  <c r="I38" i="3"/>
  <c r="J34" i="2"/>
  <c r="L86" i="2"/>
  <c r="L89" i="2" s="1"/>
  <c r="K94" i="2"/>
  <c r="L37" i="2"/>
  <c r="L78" i="2"/>
  <c r="N5" i="2"/>
  <c r="N19" i="2" s="1"/>
  <c r="M92" i="2"/>
  <c r="J29" i="3"/>
  <c r="J34" i="3"/>
  <c r="L81" i="2" s="1"/>
  <c r="M6" i="2"/>
  <c r="M36" i="2"/>
  <c r="M71" i="2"/>
  <c r="H79" i="2"/>
  <c r="H80" i="2" s="1"/>
  <c r="N60" i="2" l="1"/>
  <c r="J22" i="2"/>
  <c r="J23" i="2" s="1"/>
  <c r="I18" i="4" s="1"/>
  <c r="K63" i="2"/>
  <c r="J19" i="4"/>
  <c r="M33" i="2"/>
  <c r="K37" i="3" s="1"/>
  <c r="K102" i="2"/>
  <c r="J46" i="2"/>
  <c r="I64" i="11"/>
  <c r="H42" i="2"/>
  <c r="J61" i="11"/>
  <c r="J63" i="11" s="1"/>
  <c r="J64" i="2"/>
  <c r="K161" i="11" s="1"/>
  <c r="J30" i="3"/>
  <c r="L73" i="2" s="1"/>
  <c r="K26" i="2"/>
  <c r="M72" i="2"/>
  <c r="M67" i="2"/>
  <c r="J25" i="3"/>
  <c r="J26" i="3" s="1"/>
  <c r="L68" i="2" s="1"/>
  <c r="N55" i="2"/>
  <c r="N56" i="2" s="1"/>
  <c r="N18" i="2"/>
  <c r="N66" i="2"/>
  <c r="N25" i="2"/>
  <c r="N76" i="2"/>
  <c r="N77" i="2" s="1"/>
  <c r="N78" i="2" s="1"/>
  <c r="N15" i="2"/>
  <c r="I79" i="2"/>
  <c r="I80" i="2" s="1"/>
  <c r="N31" i="2"/>
  <c r="N32" i="2" s="1"/>
  <c r="N85" i="2"/>
  <c r="J41" i="3"/>
  <c r="J42" i="3" s="1"/>
  <c r="L90" i="2" s="1"/>
  <c r="K41" i="3"/>
  <c r="J38" i="3"/>
  <c r="K34" i="2"/>
  <c r="M78" i="2"/>
  <c r="M93" i="2"/>
  <c r="L38" i="2"/>
  <c r="M37" i="2"/>
  <c r="N71" i="2"/>
  <c r="O5" i="2"/>
  <c r="O19" i="2" s="1"/>
  <c r="N36" i="2"/>
  <c r="N92" i="2"/>
  <c r="N6" i="2"/>
  <c r="K34" i="3"/>
  <c r="M81" i="2" s="1"/>
  <c r="O60" i="2" l="1"/>
  <c r="L63" i="2"/>
  <c r="K22" i="2"/>
  <c r="N33" i="2"/>
  <c r="L37" i="3" s="1"/>
  <c r="L102" i="2"/>
  <c r="K46" i="2"/>
  <c r="J64" i="11"/>
  <c r="I21" i="4"/>
  <c r="K61" i="11"/>
  <c r="K63" i="11" s="1"/>
  <c r="K64" i="2"/>
  <c r="J18" i="4" s="1"/>
  <c r="N72" i="2"/>
  <c r="K29" i="3"/>
  <c r="K30" i="3" s="1"/>
  <c r="M73" i="2" s="1"/>
  <c r="L26" i="2"/>
  <c r="N67" i="2"/>
  <c r="K25" i="3"/>
  <c r="K26" i="3" s="1"/>
  <c r="M68" i="2" s="1"/>
  <c r="O55" i="2"/>
  <c r="O56" i="2" s="1"/>
  <c r="O18" i="2"/>
  <c r="O25" i="2"/>
  <c r="O66" i="2"/>
  <c r="O76" i="2"/>
  <c r="O77" i="2" s="1"/>
  <c r="O78" i="2" s="1"/>
  <c r="O15" i="2"/>
  <c r="N86" i="2"/>
  <c r="K38" i="3"/>
  <c r="N37" i="2"/>
  <c r="O85" i="2"/>
  <c r="K42" i="3"/>
  <c r="M90" i="2" s="1"/>
  <c r="N93" i="2"/>
  <c r="L34" i="2"/>
  <c r="M94" i="2"/>
  <c r="O6" i="2"/>
  <c r="O92" i="2"/>
  <c r="M38" i="2"/>
  <c r="L33" i="3"/>
  <c r="L34" i="3" s="1"/>
  <c r="N81" i="2" s="1"/>
  <c r="O36" i="2"/>
  <c r="O31" i="2"/>
  <c r="O32" i="2" s="1"/>
  <c r="P5" i="2"/>
  <c r="P19" i="2" s="1"/>
  <c r="O71" i="2"/>
  <c r="J79" i="2"/>
  <c r="J80" i="2" s="1"/>
  <c r="P60" i="2" l="1"/>
  <c r="M63" i="2"/>
  <c r="L22" i="2"/>
  <c r="O33" i="2"/>
  <c r="M37" i="3" s="1"/>
  <c r="M102" i="2"/>
  <c r="L46" i="2"/>
  <c r="I23" i="4"/>
  <c r="L161" i="11"/>
  <c r="N89" i="2"/>
  <c r="L41" i="3" s="1"/>
  <c r="L42" i="3" s="1"/>
  <c r="N90" i="2" s="1"/>
  <c r="K23" i="2"/>
  <c r="L29" i="3"/>
  <c r="L30" i="3" s="1"/>
  <c r="N73" i="2" s="1"/>
  <c r="O72" i="2"/>
  <c r="M26" i="2"/>
  <c r="O67" i="2"/>
  <c r="L25" i="3"/>
  <c r="L26" i="3" s="1"/>
  <c r="N68" i="2" s="1"/>
  <c r="P55" i="2"/>
  <c r="P56" i="2" s="1"/>
  <c r="P18" i="2"/>
  <c r="P25" i="2"/>
  <c r="P66" i="2"/>
  <c r="P67" i="2" s="1"/>
  <c r="P76" i="2"/>
  <c r="P77" i="2" s="1"/>
  <c r="N33" i="3" s="1"/>
  <c r="P15" i="2"/>
  <c r="M33" i="3"/>
  <c r="M34" i="3" s="1"/>
  <c r="O81" i="2" s="1"/>
  <c r="L38" i="3"/>
  <c r="O86" i="2"/>
  <c r="N38" i="2"/>
  <c r="O37" i="2"/>
  <c r="P85" i="2"/>
  <c r="N94" i="2"/>
  <c r="O93" i="2"/>
  <c r="M34" i="2"/>
  <c r="L64" i="2"/>
  <c r="M161" i="11" s="1"/>
  <c r="P36" i="2"/>
  <c r="P31" i="2"/>
  <c r="P32" i="2" s="1"/>
  <c r="P6" i="2"/>
  <c r="Q5" i="2"/>
  <c r="Q19" i="2" s="1"/>
  <c r="P92" i="2"/>
  <c r="P71" i="2"/>
  <c r="K79" i="2"/>
  <c r="K80" i="2" s="1"/>
  <c r="Q60" i="2" l="1"/>
  <c r="N63" i="2"/>
  <c r="M22" i="2"/>
  <c r="M23" i="2" s="1"/>
  <c r="N61" i="11" s="1"/>
  <c r="N63" i="11" s="1"/>
  <c r="P33" i="2"/>
  <c r="N37" i="3" s="1"/>
  <c r="N102" i="2"/>
  <c r="M46" i="2"/>
  <c r="O89" i="2"/>
  <c r="M41" i="3" s="1"/>
  <c r="M42" i="3" s="1"/>
  <c r="O90" i="2" s="1"/>
  <c r="M64" i="2"/>
  <c r="N161" i="11" s="1"/>
  <c r="L23" i="2"/>
  <c r="N26" i="2"/>
  <c r="P72" i="2"/>
  <c r="M29" i="3"/>
  <c r="M30" i="3" s="1"/>
  <c r="O73" i="2" s="1"/>
  <c r="M25" i="3"/>
  <c r="M26" i="3" s="1"/>
  <c r="O68" i="2" s="1"/>
  <c r="Q55" i="2"/>
  <c r="Q56" i="2" s="1"/>
  <c r="Q18" i="2"/>
  <c r="Q66" i="2"/>
  <c r="Q25" i="2"/>
  <c r="Q76" i="2"/>
  <c r="Q77" i="2" s="1"/>
  <c r="Q78" i="2" s="1"/>
  <c r="Q15" i="2"/>
  <c r="P86" i="2"/>
  <c r="P37" i="2"/>
  <c r="O38" i="2"/>
  <c r="Q85" i="2"/>
  <c r="P93" i="2"/>
  <c r="O94" i="2"/>
  <c r="M38" i="3"/>
  <c r="N34" i="2"/>
  <c r="N25" i="3"/>
  <c r="R5" i="2"/>
  <c r="R19" i="2" s="1"/>
  <c r="N34" i="3"/>
  <c r="P81" i="2" s="1"/>
  <c r="P78" i="2"/>
  <c r="Q31" i="2"/>
  <c r="Q32" i="2" s="1"/>
  <c r="Q6" i="2"/>
  <c r="Q36" i="2"/>
  <c r="Q92" i="2"/>
  <c r="Q71" i="2"/>
  <c r="L79" i="2"/>
  <c r="L80" i="2" s="1"/>
  <c r="R60" i="2" l="1"/>
  <c r="O63" i="2"/>
  <c r="N22" i="2"/>
  <c r="N23" i="2" s="1"/>
  <c r="O61" i="11" s="1"/>
  <c r="O63" i="11" s="1"/>
  <c r="Q33" i="2"/>
  <c r="O37" i="3" s="1"/>
  <c r="O102" i="2"/>
  <c r="N46" i="2"/>
  <c r="M61" i="11"/>
  <c r="M63" i="11" s="1"/>
  <c r="L61" i="11"/>
  <c r="L63" i="11" s="1"/>
  <c r="K64" i="11"/>
  <c r="P89" i="2"/>
  <c r="N41" i="3" s="1"/>
  <c r="N42" i="3" s="1"/>
  <c r="P90" i="2" s="1"/>
  <c r="N64" i="2"/>
  <c r="O161" i="11" s="1"/>
  <c r="N29" i="3"/>
  <c r="N30" i="3" s="1"/>
  <c r="P73" i="2" s="1"/>
  <c r="Q72" i="2"/>
  <c r="N26" i="3"/>
  <c r="P68" i="2" s="1"/>
  <c r="Q67" i="2"/>
  <c r="O25" i="3" s="1"/>
  <c r="O26" i="2"/>
  <c r="R55" i="2"/>
  <c r="R56" i="2" s="1"/>
  <c r="R18" i="2"/>
  <c r="R25" i="2"/>
  <c r="R66" i="2"/>
  <c r="R76" i="2"/>
  <c r="R77" i="2" s="1"/>
  <c r="R78" i="2" s="1"/>
  <c r="R15" i="2"/>
  <c r="R36" i="2"/>
  <c r="P38" i="2"/>
  <c r="Q86" i="2"/>
  <c r="S5" i="2"/>
  <c r="S19" i="2" s="1"/>
  <c r="R92" i="2"/>
  <c r="R71" i="2"/>
  <c r="R72" i="2" s="1"/>
  <c r="R85" i="2"/>
  <c r="P94" i="2"/>
  <c r="Q93" i="2"/>
  <c r="N38" i="3"/>
  <c r="O34" i="2"/>
  <c r="O33" i="3"/>
  <c r="O34" i="3" s="1"/>
  <c r="Q81" i="2" s="1"/>
  <c r="R6" i="2"/>
  <c r="R31" i="2"/>
  <c r="R32" i="2" s="1"/>
  <c r="Q37" i="2"/>
  <c r="M79" i="2"/>
  <c r="M80" i="2" s="1"/>
  <c r="S60" i="2" l="1"/>
  <c r="P63" i="2"/>
  <c r="O22" i="2"/>
  <c r="P102" i="2"/>
  <c r="R33" i="2"/>
  <c r="P37" i="3" s="1"/>
  <c r="O46" i="2"/>
  <c r="L64" i="11"/>
  <c r="M64" i="11"/>
  <c r="Q89" i="2"/>
  <c r="O41" i="3" s="1"/>
  <c r="O42" i="3" s="1"/>
  <c r="Q90" i="2" s="1"/>
  <c r="O64" i="2"/>
  <c r="P161" i="11" s="1"/>
  <c r="O29" i="3"/>
  <c r="O30" i="3" s="1"/>
  <c r="Q73" i="2" s="1"/>
  <c r="P26" i="2"/>
  <c r="O26" i="3"/>
  <c r="Q68" i="2" s="1"/>
  <c r="Q63" i="2" s="1"/>
  <c r="R67" i="2"/>
  <c r="S71" i="2"/>
  <c r="S72" i="2" s="1"/>
  <c r="S36" i="2"/>
  <c r="S92" i="2"/>
  <c r="S6" i="2"/>
  <c r="S55" i="2"/>
  <c r="S56" i="2" s="1"/>
  <c r="S18" i="2"/>
  <c r="S66" i="2"/>
  <c r="S25" i="2"/>
  <c r="S76" i="2"/>
  <c r="S77" i="2" s="1"/>
  <c r="Q33" i="3" s="1"/>
  <c r="S15" i="2"/>
  <c r="T5" i="2"/>
  <c r="T19" i="2" s="1"/>
  <c r="R37" i="2"/>
  <c r="R93" i="2"/>
  <c r="R94" i="2" s="1"/>
  <c r="P29" i="3"/>
  <c r="Q94" i="2"/>
  <c r="R86" i="2"/>
  <c r="P33" i="3"/>
  <c r="P34" i="3" s="1"/>
  <c r="R81" i="2" s="1"/>
  <c r="S85" i="2"/>
  <c r="O38" i="3"/>
  <c r="S31" i="2"/>
  <c r="S32" i="2" s="1"/>
  <c r="P34" i="2"/>
  <c r="Q38" i="2"/>
  <c r="N79" i="2"/>
  <c r="N80" i="2" s="1"/>
  <c r="T60" i="2" l="1"/>
  <c r="P22" i="2"/>
  <c r="S33" i="2"/>
  <c r="Q37" i="3" s="1"/>
  <c r="Q102" i="2"/>
  <c r="P46" i="2"/>
  <c r="R89" i="2"/>
  <c r="P41" i="3" s="1"/>
  <c r="P42" i="3" s="1"/>
  <c r="R90" i="2" s="1"/>
  <c r="Q26" i="2"/>
  <c r="O23" i="2"/>
  <c r="P64" i="2"/>
  <c r="Q161" i="11" s="1"/>
  <c r="P30" i="3"/>
  <c r="R73" i="2" s="1"/>
  <c r="S67" i="2"/>
  <c r="P25" i="3"/>
  <c r="P26" i="3" s="1"/>
  <c r="R68" i="2" s="1"/>
  <c r="S37" i="2"/>
  <c r="S78" i="2"/>
  <c r="S93" i="2"/>
  <c r="Q29" i="3"/>
  <c r="T6" i="2"/>
  <c r="T36" i="2"/>
  <c r="T37" i="2" s="1"/>
  <c r="T38" i="2" s="1"/>
  <c r="T92" i="2"/>
  <c r="U5" i="2"/>
  <c r="U19" i="2" s="1"/>
  <c r="R38" i="2"/>
  <c r="T55" i="2"/>
  <c r="T56" i="2" s="1"/>
  <c r="T18" i="2"/>
  <c r="T66" i="2"/>
  <c r="T67" i="2" s="1"/>
  <c r="T25" i="2"/>
  <c r="T76" i="2"/>
  <c r="T77" i="2" s="1"/>
  <c r="T78" i="2" s="1"/>
  <c r="T15" i="2"/>
  <c r="T71" i="2"/>
  <c r="T85" i="2"/>
  <c r="S86" i="2"/>
  <c r="S89" i="2" s="1"/>
  <c r="Q34" i="3"/>
  <c r="S81" i="2" s="1"/>
  <c r="P38" i="3"/>
  <c r="T31" i="2"/>
  <c r="T32" i="2" s="1"/>
  <c r="Q34" i="2"/>
  <c r="O79" i="2"/>
  <c r="O80" i="2" s="1"/>
  <c r="U60" i="2" l="1"/>
  <c r="R63" i="2"/>
  <c r="Q22" i="2"/>
  <c r="T33" i="2"/>
  <c r="R37" i="3" s="1"/>
  <c r="R102" i="2"/>
  <c r="Q46" i="2"/>
  <c r="N64" i="11"/>
  <c r="Q64" i="2"/>
  <c r="R161" i="11" s="1"/>
  <c r="Q30" i="3"/>
  <c r="S73" i="2" s="1"/>
  <c r="P23" i="2"/>
  <c r="T72" i="2"/>
  <c r="R26" i="2"/>
  <c r="Q25" i="3"/>
  <c r="Q26" i="3" s="1"/>
  <c r="S68" i="2" s="1"/>
  <c r="S63" i="2" s="1"/>
  <c r="U36" i="2"/>
  <c r="V5" i="2"/>
  <c r="V19" i="2" s="1"/>
  <c r="U71" i="2"/>
  <c r="U72" i="2" s="1"/>
  <c r="S38" i="2"/>
  <c r="U25" i="2"/>
  <c r="U15" i="2"/>
  <c r="U6" i="2"/>
  <c r="U92" i="2"/>
  <c r="U93" i="2" s="1"/>
  <c r="U94" i="2" s="1"/>
  <c r="U66" i="2"/>
  <c r="S94" i="2"/>
  <c r="T93" i="2"/>
  <c r="T94" i="2" s="1"/>
  <c r="R25" i="3"/>
  <c r="R33" i="3"/>
  <c r="R34" i="3" s="1"/>
  <c r="T81" i="2" s="1"/>
  <c r="U18" i="2"/>
  <c r="U76" i="2"/>
  <c r="U77" i="2" s="1"/>
  <c r="S33" i="3" s="1"/>
  <c r="U55" i="2"/>
  <c r="U56" i="2" s="1"/>
  <c r="U85" i="2"/>
  <c r="T86" i="2"/>
  <c r="T89" i="2" s="1"/>
  <c r="Q41" i="3"/>
  <c r="Q42" i="3" s="1"/>
  <c r="S90" i="2" s="1"/>
  <c r="Q38" i="3"/>
  <c r="R34" i="2"/>
  <c r="U31" i="2"/>
  <c r="U32" i="2" s="1"/>
  <c r="P79" i="2"/>
  <c r="P80" i="2" s="1"/>
  <c r="V60" i="2" l="1"/>
  <c r="R22" i="2"/>
  <c r="U33" i="2"/>
  <c r="S37" i="3" s="1"/>
  <c r="S102" i="2"/>
  <c r="R46" i="2"/>
  <c r="P61" i="11"/>
  <c r="P63" i="11" s="1"/>
  <c r="O64" i="11"/>
  <c r="R64" i="2"/>
  <c r="S161" i="11" s="1"/>
  <c r="Q23" i="2"/>
  <c r="R26" i="3"/>
  <c r="T68" i="2" s="1"/>
  <c r="V36" i="2"/>
  <c r="V37" i="2" s="1"/>
  <c r="V38" i="2" s="1"/>
  <c r="S64" i="2"/>
  <c r="T161" i="11" s="1"/>
  <c r="R29" i="3"/>
  <c r="R30" i="3" s="1"/>
  <c r="T73" i="2" s="1"/>
  <c r="U37" i="2"/>
  <c r="V6" i="2"/>
  <c r="V15" i="2"/>
  <c r="V92" i="2"/>
  <c r="V25" i="2"/>
  <c r="S26" i="2"/>
  <c r="W5" i="2"/>
  <c r="W19" i="2" s="1"/>
  <c r="V18" i="2"/>
  <c r="U67" i="2"/>
  <c r="S25" i="3" s="1"/>
  <c r="S29" i="3"/>
  <c r="V71" i="2"/>
  <c r="V72" i="2" s="1"/>
  <c r="V76" i="2"/>
  <c r="V77" i="2" s="1"/>
  <c r="T33" i="3" s="1"/>
  <c r="V55" i="2"/>
  <c r="V56" i="2" s="1"/>
  <c r="V66" i="2"/>
  <c r="U78" i="2"/>
  <c r="V85" i="2"/>
  <c r="U86" i="2"/>
  <c r="U89" i="2" s="1"/>
  <c r="R41" i="3"/>
  <c r="R42" i="3" s="1"/>
  <c r="T90" i="2" s="1"/>
  <c r="S34" i="3"/>
  <c r="U81" i="2" s="1"/>
  <c r="R38" i="3"/>
  <c r="V31" i="2"/>
  <c r="V32" i="2" s="1"/>
  <c r="V33" i="2" s="1"/>
  <c r="T37" i="3" s="1"/>
  <c r="S34" i="2"/>
  <c r="Q79" i="2"/>
  <c r="Q80" i="2" s="1"/>
  <c r="R79" i="2"/>
  <c r="R80" i="2" s="1"/>
  <c r="W60" i="2" l="1"/>
  <c r="S22" i="2"/>
  <c r="T63" i="2"/>
  <c r="T102" i="2"/>
  <c r="S46" i="2"/>
  <c r="P64" i="11"/>
  <c r="Q61" i="11"/>
  <c r="Q63" i="11" s="1"/>
  <c r="R61" i="11"/>
  <c r="R63" i="11" s="1"/>
  <c r="W25" i="2"/>
  <c r="S26" i="3"/>
  <c r="U68" i="2" s="1"/>
  <c r="T26" i="2"/>
  <c r="W55" i="2"/>
  <c r="W56" i="2" s="1"/>
  <c r="U38" i="2"/>
  <c r="R23" i="2"/>
  <c r="X5" i="2"/>
  <c r="X19" i="2" s="1"/>
  <c r="W6" i="2"/>
  <c r="W92" i="2"/>
  <c r="W76" i="2"/>
  <c r="W77" i="2" s="1"/>
  <c r="U33" i="3" s="1"/>
  <c r="S30" i="3"/>
  <c r="U73" i="2" s="1"/>
  <c r="S23" i="2"/>
  <c r="T61" i="11" s="1"/>
  <c r="T63" i="11" s="1"/>
  <c r="W18" i="2"/>
  <c r="T29" i="3"/>
  <c r="W71" i="2"/>
  <c r="W72" i="2" s="1"/>
  <c r="V93" i="2"/>
  <c r="V94" i="2" s="1"/>
  <c r="W15" i="2"/>
  <c r="W66" i="2"/>
  <c r="W67" i="2" s="1"/>
  <c r="U25" i="3" s="1"/>
  <c r="W36" i="2"/>
  <c r="W37" i="2" s="1"/>
  <c r="V67" i="2"/>
  <c r="W85" i="2"/>
  <c r="V78" i="2"/>
  <c r="V86" i="2"/>
  <c r="S41" i="3"/>
  <c r="S42" i="3" s="1"/>
  <c r="U90" i="2" s="1"/>
  <c r="T34" i="3"/>
  <c r="V81" i="2" s="1"/>
  <c r="W31" i="2"/>
  <c r="W32" i="2" s="1"/>
  <c r="S38" i="3"/>
  <c r="T34" i="2"/>
  <c r="S79" i="2"/>
  <c r="S80" i="2" s="1"/>
  <c r="X60" i="2" l="1"/>
  <c r="U63" i="2"/>
  <c r="T22" i="2"/>
  <c r="T23" i="2" s="1"/>
  <c r="U61" i="11" s="1"/>
  <c r="U63" i="11" s="1"/>
  <c r="W33" i="2"/>
  <c r="U37" i="3" s="1"/>
  <c r="U102" i="2"/>
  <c r="T46" i="2"/>
  <c r="Q64" i="11"/>
  <c r="R64" i="11"/>
  <c r="S61" i="11"/>
  <c r="S63" i="11" s="1"/>
  <c r="X36" i="2"/>
  <c r="X37" i="2" s="1"/>
  <c r="X38" i="2" s="1"/>
  <c r="X66" i="2"/>
  <c r="X67" i="2" s="1"/>
  <c r="V25" i="3" s="1"/>
  <c r="V89" i="2"/>
  <c r="T41" i="3" s="1"/>
  <c r="T42" i="3" s="1"/>
  <c r="V90" i="2" s="1"/>
  <c r="X15" i="2"/>
  <c r="U26" i="2"/>
  <c r="X71" i="2"/>
  <c r="X72" i="2" s="1"/>
  <c r="V29" i="3" s="1"/>
  <c r="X25" i="2"/>
  <c r="X6" i="2"/>
  <c r="X18" i="2"/>
  <c r="X92" i="2"/>
  <c r="X93" i="2" s="1"/>
  <c r="Y5" i="2"/>
  <c r="Y19" i="2" s="1"/>
  <c r="W93" i="2"/>
  <c r="T30" i="3"/>
  <c r="V73" i="2" s="1"/>
  <c r="T64" i="2"/>
  <c r="U161" i="11" s="1"/>
  <c r="X76" i="2"/>
  <c r="X77" i="2" s="1"/>
  <c r="V33" i="3" s="1"/>
  <c r="X55" i="2"/>
  <c r="X56" i="2" s="1"/>
  <c r="W78" i="2"/>
  <c r="U64" i="2"/>
  <c r="V161" i="11" s="1"/>
  <c r="X85" i="2"/>
  <c r="W86" i="2"/>
  <c r="U29" i="3"/>
  <c r="T25" i="3"/>
  <c r="T26" i="3" s="1"/>
  <c r="V68" i="2" s="1"/>
  <c r="U34" i="3"/>
  <c r="W81" i="2" s="1"/>
  <c r="W38" i="2"/>
  <c r="X31" i="2"/>
  <c r="X32" i="2" s="1"/>
  <c r="X33" i="2" s="1"/>
  <c r="V37" i="3" s="1"/>
  <c r="T38" i="3"/>
  <c r="U34" i="2"/>
  <c r="T79" i="2"/>
  <c r="T80" i="2" s="1"/>
  <c r="U79" i="2"/>
  <c r="U80" i="2" s="1"/>
  <c r="Y60" i="2" l="1"/>
  <c r="V63" i="2"/>
  <c r="U22" i="2"/>
  <c r="V102" i="2"/>
  <c r="U46" i="2"/>
  <c r="S64" i="11"/>
  <c r="W89" i="2"/>
  <c r="U41" i="3" s="1"/>
  <c r="U42" i="3" s="1"/>
  <c r="W90" i="2" s="1"/>
  <c r="Y18" i="2"/>
  <c r="W94" i="2"/>
  <c r="X78" i="2"/>
  <c r="Y36" i="2"/>
  <c r="Y92" i="2"/>
  <c r="Y76" i="2"/>
  <c r="Y77" i="2" s="1"/>
  <c r="W33" i="3" s="1"/>
  <c r="Y25" i="2"/>
  <c r="U30" i="3"/>
  <c r="W73" i="2" s="1"/>
  <c r="Y55" i="2"/>
  <c r="Y56" i="2" s="1"/>
  <c r="E56" i="2" s="1"/>
  <c r="Y6" i="2"/>
  <c r="Y71" i="2"/>
  <c r="Y72" i="2" s="1"/>
  <c r="W29" i="3" s="1"/>
  <c r="Y15" i="2"/>
  <c r="E15" i="2" s="1"/>
  <c r="Y66" i="2"/>
  <c r="Y67" i="2" s="1"/>
  <c r="W25" i="3" s="1"/>
  <c r="Y85" i="2"/>
  <c r="X86" i="2"/>
  <c r="V26" i="2"/>
  <c r="U26" i="3"/>
  <c r="W26" i="2" s="1"/>
  <c r="V34" i="3"/>
  <c r="X81" i="2" s="1"/>
  <c r="Y31" i="2"/>
  <c r="Y32" i="2" s="1"/>
  <c r="X94" i="2"/>
  <c r="U38" i="3"/>
  <c r="V34" i="2"/>
  <c r="V22" i="2" l="1"/>
  <c r="W22" i="2"/>
  <c r="D58" i="11"/>
  <c r="Y33" i="2"/>
  <c r="W37" i="3" s="1"/>
  <c r="V46" i="2"/>
  <c r="X89" i="2"/>
  <c r="V41" i="3" s="1"/>
  <c r="V42" i="3" s="1"/>
  <c r="X90" i="2" s="1"/>
  <c r="U23" i="2"/>
  <c r="Y93" i="2"/>
  <c r="Y37" i="2"/>
  <c r="Y38" i="2" s="1"/>
  <c r="D15" i="2"/>
  <c r="B4" i="4" s="1"/>
  <c r="Y78" i="2"/>
  <c r="D78" i="2" s="1"/>
  <c r="V64" i="2"/>
  <c r="W161" i="11" s="1"/>
  <c r="Y86" i="2"/>
  <c r="V30" i="3"/>
  <c r="X73" i="2" s="1"/>
  <c r="D56" i="2"/>
  <c r="V26" i="3"/>
  <c r="X68" i="2" s="1"/>
  <c r="W68" i="2"/>
  <c r="W63" i="2" s="1"/>
  <c r="W34" i="3"/>
  <c r="Y81" i="2" s="1"/>
  <c r="E82" i="2" s="1"/>
  <c r="V38" i="3"/>
  <c r="W34" i="2"/>
  <c r="V79" i="2"/>
  <c r="V80" i="2" s="1"/>
  <c r="X63" i="2" l="1"/>
  <c r="D39" i="2"/>
  <c r="E39" i="2"/>
  <c r="E60" i="11"/>
  <c r="E58" i="11"/>
  <c r="W64" i="2"/>
  <c r="X161" i="11" s="1"/>
  <c r="W102" i="2"/>
  <c r="X102" i="2"/>
  <c r="D82" i="2"/>
  <c r="W46" i="2"/>
  <c r="T64" i="11"/>
  <c r="V61" i="11"/>
  <c r="V63" i="11" s="1"/>
  <c r="D160" i="11"/>
  <c r="E160" i="11"/>
  <c r="D60" i="11"/>
  <c r="E19" i="4" s="1"/>
  <c r="E158" i="11"/>
  <c r="Y89" i="2"/>
  <c r="W41" i="3" s="1"/>
  <c r="W42" i="3" s="1"/>
  <c r="Y90" i="2" s="1"/>
  <c r="E91" i="2" s="1"/>
  <c r="Y94" i="2"/>
  <c r="W30" i="3"/>
  <c r="Y73" i="2" s="1"/>
  <c r="V23" i="2"/>
  <c r="W26" i="3"/>
  <c r="Y68" i="2" s="1"/>
  <c r="X26" i="2"/>
  <c r="W23" i="2"/>
  <c r="X61" i="11" s="1"/>
  <c r="X63" i="11" s="1"/>
  <c r="W38" i="3"/>
  <c r="X34" i="2"/>
  <c r="W79" i="2"/>
  <c r="W80" i="2" s="1"/>
  <c r="Y63" i="2" l="1"/>
  <c r="X22" i="2"/>
  <c r="D95" i="2"/>
  <c r="E95" i="2"/>
  <c r="Y102" i="2"/>
  <c r="X64" i="2"/>
  <c r="Y161" i="11" s="1"/>
  <c r="X46" i="2"/>
  <c r="W61" i="11"/>
  <c r="W63" i="11" s="1"/>
  <c r="V64" i="11"/>
  <c r="U64" i="11"/>
  <c r="Y26" i="2"/>
  <c r="Y34" i="2"/>
  <c r="X79" i="2"/>
  <c r="X80" i="2" s="1"/>
  <c r="E69" i="2" l="1"/>
  <c r="Y22" i="2"/>
  <c r="D74" i="2"/>
  <c r="E74" i="2"/>
  <c r="Y46" i="2"/>
  <c r="W64" i="11"/>
  <c r="D69" i="2"/>
  <c r="X64" i="11"/>
  <c r="X23" i="2"/>
  <c r="Y61" i="11" s="1"/>
  <c r="Y63" i="11" s="1"/>
  <c r="D91" i="2"/>
  <c r="C7" i="4" s="1"/>
  <c r="Y64" i="2"/>
  <c r="Z161" i="11" s="1"/>
  <c r="Y79" i="2"/>
  <c r="Y80" i="2" s="1"/>
  <c r="D80" i="2" s="1"/>
  <c r="C6" i="4" l="1"/>
  <c r="D35" i="2"/>
  <c r="B7" i="4" s="1"/>
  <c r="E35" i="2"/>
  <c r="D27" i="2"/>
  <c r="B6" i="4" s="1"/>
  <c r="E27" i="2"/>
  <c r="D156" i="11"/>
  <c r="E156" i="11"/>
  <c r="E161" i="11" s="1"/>
  <c r="Y23" i="2"/>
  <c r="Z61" i="11" s="1"/>
  <c r="Z63" i="11" s="1"/>
  <c r="F18" i="4" l="1"/>
  <c r="B21" i="4"/>
  <c r="D56" i="11"/>
  <c r="E56" i="11"/>
  <c r="E61" i="11" s="1"/>
  <c r="E63" i="11" s="1"/>
  <c r="Y64" i="11"/>
  <c r="Z64" i="11"/>
  <c r="L5" i="12"/>
  <c r="L18" i="12" s="1"/>
  <c r="I5" i="12"/>
  <c r="I18" i="12" s="1"/>
  <c r="K5" i="12"/>
  <c r="K18" i="12" s="1"/>
  <c r="J5" i="12"/>
  <c r="J18" i="12" s="1"/>
  <c r="M5" i="12"/>
  <c r="M18" i="12" s="1"/>
  <c r="F42" i="2" l="1"/>
  <c r="G64" i="11"/>
  <c r="E18" i="4"/>
  <c r="D61" i="11"/>
  <c r="B23" i="4"/>
  <c r="D63" i="11"/>
  <c r="J114" i="11"/>
  <c r="J128" i="11" s="1"/>
  <c r="J165" i="11" s="1"/>
  <c r="H114" i="11"/>
  <c r="H128" i="11" s="1"/>
  <c r="H165" i="11" s="1"/>
  <c r="L114" i="11"/>
  <c r="L128" i="11" s="1"/>
  <c r="L165" i="11" s="1"/>
  <c r="K114" i="11"/>
  <c r="K128" i="11" s="1"/>
  <c r="K165" i="11" s="1"/>
  <c r="I114" i="11"/>
  <c r="I128" i="11" s="1"/>
  <c r="I165" i="11" s="1"/>
  <c r="F43" i="2" l="1"/>
  <c r="J15" i="4"/>
  <c r="J22" i="4" s="1"/>
  <c r="E24" i="4"/>
  <c r="E21" i="4"/>
  <c r="E114" i="11"/>
  <c r="E128" i="11" s="1"/>
  <c r="D114" i="11"/>
  <c r="D128" i="11" s="1"/>
  <c r="C15" i="4" s="1"/>
  <c r="C21" i="4" s="1"/>
  <c r="G43" i="2" l="1"/>
  <c r="H43" i="2" s="1"/>
  <c r="D158" i="11"/>
  <c r="D161" i="11" s="1"/>
  <c r="F19" i="4" l="1"/>
  <c r="F21" i="12"/>
  <c r="Y59" i="2" s="1"/>
  <c r="I59" i="2" l="1"/>
  <c r="R53" i="2"/>
  <c r="V53" i="2"/>
  <c r="O59" i="2"/>
  <c r="T53" i="2"/>
  <c r="N53" i="2"/>
  <c r="O53" i="2"/>
  <c r="P53" i="2"/>
  <c r="G53" i="2"/>
  <c r="G97" i="2" s="1"/>
  <c r="S53" i="2"/>
  <c r="J53" i="2"/>
  <c r="L59" i="2"/>
  <c r="K59" i="2"/>
  <c r="R59" i="2"/>
  <c r="U53" i="2"/>
  <c r="I53" i="2"/>
  <c r="Q53" i="2"/>
  <c r="X59" i="2"/>
  <c r="M53" i="2"/>
  <c r="P59" i="2"/>
  <c r="W53" i="2"/>
  <c r="U59" i="2"/>
  <c r="F59" i="2"/>
  <c r="L53" i="2"/>
  <c r="S59" i="2"/>
  <c r="Q59" i="2"/>
  <c r="K53" i="2"/>
  <c r="M59" i="2"/>
  <c r="H59" i="2"/>
  <c r="J59" i="2"/>
  <c r="G59" i="2"/>
  <c r="N59" i="2"/>
  <c r="W59" i="2"/>
  <c r="X53" i="2"/>
  <c r="Y53" i="2"/>
  <c r="H53" i="2"/>
  <c r="H97" i="2" s="1"/>
  <c r="T59" i="2"/>
  <c r="V59" i="2"/>
  <c r="F53" i="2"/>
  <c r="F97" i="2" l="1"/>
  <c r="F100" i="2" s="1"/>
  <c r="G100" i="2" s="1"/>
  <c r="H100" i="2" s="1"/>
  <c r="E53" i="2"/>
  <c r="D53" i="2"/>
  <c r="C4" i="4" s="1"/>
  <c r="H115" i="11" l="1"/>
  <c r="I115" i="11" s="1"/>
  <c r="G138" i="11"/>
  <c r="I138" i="11" l="1"/>
  <c r="I139" i="11" s="1"/>
  <c r="J115" i="11"/>
  <c r="H138" i="11"/>
  <c r="H139" i="11" s="1"/>
  <c r="G139" i="11"/>
  <c r="J138" i="11" l="1"/>
  <c r="J139" i="11" s="1"/>
  <c r="K115" i="11"/>
  <c r="K138" i="11" l="1"/>
  <c r="K139" i="11" s="1"/>
  <c r="L115" i="11"/>
  <c r="L138" i="11" l="1"/>
  <c r="L139" i="11" s="1"/>
  <c r="M115" i="11"/>
  <c r="M138" i="11" l="1"/>
  <c r="M139" i="11" s="1"/>
  <c r="N115" i="11"/>
  <c r="N138" i="11" l="1"/>
  <c r="N139" i="11" s="1"/>
  <c r="O115" i="11"/>
  <c r="P115" i="11" l="1"/>
  <c r="O138" i="11"/>
  <c r="O139" i="11" s="1"/>
  <c r="P138" i="11" l="1"/>
  <c r="P139" i="11" s="1"/>
  <c r="Q115" i="11"/>
  <c r="Q138" i="11" l="1"/>
  <c r="Q139" i="11" s="1"/>
  <c r="R115" i="11"/>
  <c r="R138" i="11" l="1"/>
  <c r="R139" i="11" s="1"/>
  <c r="S115" i="11"/>
  <c r="S138" i="11" l="1"/>
  <c r="S139" i="11" s="1"/>
  <c r="T115" i="11"/>
  <c r="U115" i="11" l="1"/>
  <c r="T138" i="11"/>
  <c r="T139" i="11" s="1"/>
  <c r="V115" i="11" l="1"/>
  <c r="U138" i="11"/>
  <c r="U139" i="11" s="1"/>
  <c r="W115" i="11" l="1"/>
  <c r="V138" i="11"/>
  <c r="V139" i="11" s="1"/>
  <c r="W138" i="11" l="1"/>
  <c r="W139" i="11" s="1"/>
  <c r="X115" i="11"/>
  <c r="Y115" i="11" l="1"/>
  <c r="X138" i="11"/>
  <c r="X139" i="11" s="1"/>
  <c r="Y138" i="11" l="1"/>
  <c r="Y139" i="11" s="1"/>
  <c r="Z115" i="11"/>
  <c r="Z138" i="11" l="1"/>
  <c r="Z139" i="11" l="1"/>
  <c r="D139" i="11" l="1"/>
  <c r="E139" i="11"/>
  <c r="G140" i="11"/>
  <c r="H118" i="11"/>
  <c r="I118" i="11" l="1"/>
  <c r="H140" i="11"/>
  <c r="H141" i="11" s="1"/>
  <c r="G141" i="11"/>
  <c r="I140" i="11" l="1"/>
  <c r="I141" i="11" s="1"/>
  <c r="J118" i="11"/>
  <c r="K118" i="11" l="1"/>
  <c r="J140" i="11"/>
  <c r="J141" i="11" s="1"/>
  <c r="K140" i="11" l="1"/>
  <c r="K141" i="11" s="1"/>
  <c r="L118" i="11"/>
  <c r="M118" i="11" l="1"/>
  <c r="L140" i="11"/>
  <c r="L141" i="11" s="1"/>
  <c r="M140" i="11" l="1"/>
  <c r="M141" i="11" s="1"/>
  <c r="N118" i="11"/>
  <c r="N140" i="11" l="1"/>
  <c r="N141" i="11" s="1"/>
  <c r="O118" i="11"/>
  <c r="O140" i="11" l="1"/>
  <c r="O141" i="11" s="1"/>
  <c r="P118" i="11"/>
  <c r="P140" i="11" l="1"/>
  <c r="P141" i="11" s="1"/>
  <c r="Q118" i="11"/>
  <c r="Q140" i="11" l="1"/>
  <c r="Q141" i="11" s="1"/>
  <c r="R118" i="11"/>
  <c r="R140" i="11" l="1"/>
  <c r="R141" i="11" s="1"/>
  <c r="S118" i="11"/>
  <c r="S140" i="11" l="1"/>
  <c r="S141" i="11" s="1"/>
  <c r="T118" i="11"/>
  <c r="T140" i="11" l="1"/>
  <c r="T141" i="11" s="1"/>
  <c r="U118" i="11"/>
  <c r="U140" i="11" l="1"/>
  <c r="U141" i="11" s="1"/>
  <c r="V118" i="11"/>
  <c r="W118" i="11" l="1"/>
  <c r="V140" i="11"/>
  <c r="V141" i="11" s="1"/>
  <c r="W140" i="11" l="1"/>
  <c r="W141" i="11" s="1"/>
  <c r="X118" i="11"/>
  <c r="X140" i="11" l="1"/>
  <c r="X141" i="11" s="1"/>
  <c r="Y118" i="11"/>
  <c r="Y140" i="11" l="1"/>
  <c r="Y141" i="11" s="1"/>
  <c r="Z118" i="11"/>
  <c r="Z140" i="11" l="1"/>
  <c r="Z141" i="11" l="1"/>
  <c r="E141" i="11" l="1"/>
  <c r="D141" i="11"/>
  <c r="G142" i="11"/>
  <c r="H121" i="11"/>
  <c r="H142" i="11" l="1"/>
  <c r="H143" i="11" s="1"/>
  <c r="I121" i="11"/>
  <c r="G143" i="11"/>
  <c r="J121" i="11" l="1"/>
  <c r="I142" i="11"/>
  <c r="J142" i="11" l="1"/>
  <c r="J143" i="11" s="1"/>
  <c r="K121" i="11"/>
  <c r="I143" i="11"/>
  <c r="K142" i="11" l="1"/>
  <c r="L121" i="11"/>
  <c r="M121" i="11" l="1"/>
  <c r="L142" i="11"/>
  <c r="L143" i="11" s="1"/>
  <c r="K143" i="11"/>
  <c r="M142" i="11" l="1"/>
  <c r="N121" i="11"/>
  <c r="N142" i="11" l="1"/>
  <c r="N143" i="11" s="1"/>
  <c r="O121" i="11"/>
  <c r="M143" i="11"/>
  <c r="O142" i="11" l="1"/>
  <c r="O143" i="11" s="1"/>
  <c r="P121" i="11"/>
  <c r="Q121" i="11" l="1"/>
  <c r="P142" i="11"/>
  <c r="P143" i="11" s="1"/>
  <c r="Q142" i="11" l="1"/>
  <c r="Q143" i="11" s="1"/>
  <c r="R121" i="11"/>
  <c r="S121" i="11" l="1"/>
  <c r="R142" i="11"/>
  <c r="R143" i="11" s="1"/>
  <c r="T121" i="11" l="1"/>
  <c r="S142" i="11"/>
  <c r="S143" i="11" s="1"/>
  <c r="T142" i="11" l="1"/>
  <c r="T143" i="11" s="1"/>
  <c r="U121" i="11"/>
  <c r="U142" i="11" l="1"/>
  <c r="U143" i="11" s="1"/>
  <c r="V121" i="11"/>
  <c r="V142" i="11" l="1"/>
  <c r="V143" i="11" s="1"/>
  <c r="W121" i="11"/>
  <c r="X121" i="11" l="1"/>
  <c r="W142" i="11"/>
  <c r="W143" i="11" s="1"/>
  <c r="X142" i="11" l="1"/>
  <c r="X143" i="11" s="1"/>
  <c r="Y121" i="11"/>
  <c r="Z121" i="11" l="1"/>
  <c r="Y142" i="11"/>
  <c r="Y143" i="11" s="1"/>
  <c r="Z142" i="11" l="1"/>
  <c r="Z143" i="11" l="1"/>
  <c r="D143" i="11" l="1"/>
  <c r="E143" i="11"/>
  <c r="G146" i="11"/>
  <c r="H127" i="11"/>
  <c r="H146" i="11" l="1"/>
  <c r="H147" i="11" s="1"/>
  <c r="I127" i="11"/>
  <c r="G147" i="11"/>
  <c r="J127" i="11" l="1"/>
  <c r="J146" i="11" s="1"/>
  <c r="I146" i="11"/>
  <c r="I147" i="11" s="1"/>
  <c r="K127" i="11" l="1"/>
  <c r="J147" i="11"/>
  <c r="L127" i="11" l="1"/>
  <c r="K146" i="11"/>
  <c r="K147" i="11" s="1"/>
  <c r="M127" i="11" l="1"/>
  <c r="L146" i="11"/>
  <c r="L147" i="11" s="1"/>
  <c r="N127" i="11" l="1"/>
  <c r="M146" i="11"/>
  <c r="M147" i="11" s="1"/>
  <c r="O127" i="11" l="1"/>
  <c r="O146" i="11" s="1"/>
  <c r="O147" i="11" s="1"/>
  <c r="N146" i="11"/>
  <c r="N147" i="11" s="1"/>
  <c r="P127" i="11" l="1"/>
  <c r="Q127" i="11" s="1"/>
  <c r="P146" i="11" l="1"/>
  <c r="P147" i="11" s="1"/>
  <c r="R127" i="11"/>
  <c r="Q146" i="11"/>
  <c r="Q147" i="11" s="1"/>
  <c r="R146" i="11" l="1"/>
  <c r="R147" i="11" s="1"/>
  <c r="S127" i="11"/>
  <c r="S146" i="11" l="1"/>
  <c r="S147" i="11" s="1"/>
  <c r="T127" i="11"/>
  <c r="U127" i="11" l="1"/>
  <c r="T146" i="11"/>
  <c r="T147" i="11" s="1"/>
  <c r="V127" i="11" l="1"/>
  <c r="U146" i="11"/>
  <c r="U147" i="11" s="1"/>
  <c r="V146" i="11" l="1"/>
  <c r="V147" i="11" s="1"/>
  <c r="W127" i="11"/>
  <c r="X127" i="11" l="1"/>
  <c r="W146" i="11"/>
  <c r="W147" i="11" s="1"/>
  <c r="X146" i="11" l="1"/>
  <c r="X147" i="11" s="1"/>
  <c r="Y127" i="11"/>
  <c r="Y146" i="11" l="1"/>
  <c r="Y147" i="11" s="1"/>
  <c r="Z127" i="11"/>
  <c r="Z146" i="11" l="1"/>
  <c r="Z147" i="11" l="1"/>
  <c r="E147" i="11" l="1"/>
  <c r="D147" i="11"/>
  <c r="G124" i="11"/>
  <c r="G144" i="11" s="1"/>
  <c r="G145" i="11" l="1"/>
  <c r="H124" i="11"/>
  <c r="I124" i="11" s="1"/>
  <c r="J124" i="11" s="1"/>
  <c r="I144" i="11" l="1"/>
  <c r="H144" i="11"/>
  <c r="J144" i="11"/>
  <c r="K124" i="11"/>
  <c r="J145" i="11" l="1"/>
  <c r="H145" i="11"/>
  <c r="I145" i="11"/>
  <c r="K144" i="11"/>
  <c r="L124" i="11"/>
  <c r="K145" i="11" l="1"/>
  <c r="M124" i="11"/>
  <c r="L144" i="11"/>
  <c r="L145" i="11" l="1"/>
  <c r="N124" i="11"/>
  <c r="M144" i="11"/>
  <c r="M145" i="11" l="1"/>
  <c r="N144" i="11"/>
  <c r="O124" i="11"/>
  <c r="N145" i="11" l="1"/>
  <c r="P124" i="11"/>
  <c r="O144" i="11"/>
  <c r="O145" i="11" l="1"/>
  <c r="P144" i="11"/>
  <c r="Q124" i="11"/>
  <c r="R124" i="11" l="1"/>
  <c r="Q144" i="11"/>
  <c r="P145" i="11"/>
  <c r="Q145" i="11" l="1"/>
  <c r="R144" i="11"/>
  <c r="S124" i="11"/>
  <c r="R145" i="11" l="1"/>
  <c r="S144" i="11"/>
  <c r="T124" i="11"/>
  <c r="S145" i="11" l="1"/>
  <c r="U124" i="11"/>
  <c r="T144" i="11"/>
  <c r="T145" i="11" l="1"/>
  <c r="V124" i="11"/>
  <c r="U144" i="11"/>
  <c r="U145" i="11" l="1"/>
  <c r="V144" i="11"/>
  <c r="W124" i="11"/>
  <c r="V145" i="11" l="1"/>
  <c r="X124" i="11"/>
  <c r="W144" i="11"/>
  <c r="W145" i="11" l="1"/>
  <c r="Y124" i="11"/>
  <c r="X144" i="11"/>
  <c r="X145" i="11" l="1"/>
  <c r="Y144" i="11"/>
  <c r="Z124" i="11"/>
  <c r="Z144" i="11" s="1"/>
  <c r="Y145" i="11" l="1"/>
  <c r="Z145" i="11"/>
  <c r="E145" i="11" l="1"/>
  <c r="D145" i="11"/>
  <c r="G133" i="11"/>
  <c r="G148" i="11" l="1"/>
  <c r="G149" i="11" s="1"/>
  <c r="H133" i="11"/>
  <c r="G150" i="11" l="1"/>
  <c r="G163" i="11" s="1"/>
  <c r="F101" i="2" s="1"/>
  <c r="H148" i="11"/>
  <c r="H149" i="11" s="1"/>
  <c r="I133" i="11"/>
  <c r="F98" i="2" l="1"/>
  <c r="J133" i="11"/>
  <c r="H150" i="11"/>
  <c r="H163" i="11" s="1"/>
  <c r="G101" i="2" s="1"/>
  <c r="I148" i="11"/>
  <c r="F99" i="2" l="1"/>
  <c r="G164" i="11"/>
  <c r="G98" i="2"/>
  <c r="H164" i="11"/>
  <c r="K133" i="11"/>
  <c r="K148" i="11" s="1"/>
  <c r="J148" i="11"/>
  <c r="J149" i="11" s="1"/>
  <c r="I149" i="11"/>
  <c r="G99" i="2" l="1"/>
  <c r="L133" i="11"/>
  <c r="M133" i="11" s="1"/>
  <c r="J150" i="11"/>
  <c r="J163" i="11" s="1"/>
  <c r="I150" i="11"/>
  <c r="I163" i="11" s="1"/>
  <c r="H101" i="2" s="1"/>
  <c r="K149" i="11"/>
  <c r="L148" i="11"/>
  <c r="L149" i="11" s="1"/>
  <c r="L150" i="11" s="1"/>
  <c r="L163" i="11" s="1"/>
  <c r="H98" i="2" l="1"/>
  <c r="J164" i="11"/>
  <c r="K150" i="11"/>
  <c r="M148" i="11"/>
  <c r="N133" i="11"/>
  <c r="H99" i="2" l="1"/>
  <c r="J16" i="4"/>
  <c r="K163" i="11"/>
  <c r="I164" i="11"/>
  <c r="L164" i="11"/>
  <c r="M149" i="11"/>
  <c r="N148" i="11"/>
  <c r="N149" i="11" s="1"/>
  <c r="N150" i="11" s="1"/>
  <c r="N163" i="11" s="1"/>
  <c r="O133" i="11"/>
  <c r="J23" i="4" l="1"/>
  <c r="J21" i="4"/>
  <c r="K164" i="11"/>
  <c r="M150" i="11"/>
  <c r="M163" i="11" s="1"/>
  <c r="O148" i="11"/>
  <c r="P133" i="11"/>
  <c r="N164" i="11" l="1"/>
  <c r="M164" i="11"/>
  <c r="O149" i="11"/>
  <c r="Q133" i="11"/>
  <c r="P148" i="11"/>
  <c r="P149" i="11" s="1"/>
  <c r="P150" i="11" s="1"/>
  <c r="P163" i="11" s="1"/>
  <c r="O150" i="11" l="1"/>
  <c r="O163" i="11" s="1"/>
  <c r="Q148" i="11"/>
  <c r="R133" i="11"/>
  <c r="P164" i="11" l="1"/>
  <c r="O164" i="11"/>
  <c r="Q149" i="11"/>
  <c r="R148" i="11"/>
  <c r="S133" i="11"/>
  <c r="Q150" i="11" l="1"/>
  <c r="Q163" i="11" s="1"/>
  <c r="R149" i="11"/>
  <c r="S148" i="11"/>
  <c r="T133" i="11"/>
  <c r="Q164" i="11" l="1"/>
  <c r="R150" i="11"/>
  <c r="R163" i="11" s="1"/>
  <c r="S149" i="11"/>
  <c r="U133" i="11"/>
  <c r="T148" i="11"/>
  <c r="R164" i="11" l="1"/>
  <c r="S150" i="11"/>
  <c r="S163" i="11" s="1"/>
  <c r="T149" i="11"/>
  <c r="U148" i="11"/>
  <c r="V133" i="11"/>
  <c r="S164" i="11" l="1"/>
  <c r="T150" i="11"/>
  <c r="T163" i="11" s="1"/>
  <c r="U149" i="11"/>
  <c r="V148" i="11"/>
  <c r="W133" i="11"/>
  <c r="T164" i="11" l="1"/>
  <c r="U150" i="11"/>
  <c r="U163" i="11" s="1"/>
  <c r="V149" i="11"/>
  <c r="W148" i="11"/>
  <c r="X133" i="11"/>
  <c r="U164" i="11" l="1"/>
  <c r="V150" i="11"/>
  <c r="V163" i="11" s="1"/>
  <c r="W149" i="11"/>
  <c r="X148" i="11"/>
  <c r="Y133" i="11"/>
  <c r="V164" i="11" l="1"/>
  <c r="W150" i="11"/>
  <c r="W163" i="11" s="1"/>
  <c r="X149" i="11"/>
  <c r="Y148" i="11"/>
  <c r="Z133" i="11"/>
  <c r="W164" i="11" l="1"/>
  <c r="Z148" i="11"/>
  <c r="Z149" i="11" s="1"/>
  <c r="Z150" i="11" s="1"/>
  <c r="X150" i="11"/>
  <c r="X163" i="11" s="1"/>
  <c r="Y149" i="11"/>
  <c r="Z163" i="11" l="1"/>
  <c r="X164" i="11"/>
  <c r="Y150" i="11"/>
  <c r="Y163" i="11" s="1"/>
  <c r="D149" i="11"/>
  <c r="D150" i="11" s="1"/>
  <c r="F16" i="4" s="1"/>
  <c r="F21" i="4" s="1"/>
  <c r="E149" i="11"/>
  <c r="E150" i="11" s="1"/>
  <c r="C23" i="4"/>
  <c r="Z164" i="11" l="1"/>
  <c r="Y164" i="11"/>
  <c r="F24" i="4"/>
  <c r="D163" i="11"/>
  <c r="E163" i="11"/>
  <c r="I41" i="2"/>
  <c r="I45" i="2" s="1"/>
  <c r="M41" i="2"/>
  <c r="K41" i="2"/>
  <c r="K45" i="2" s="1"/>
  <c r="L41" i="2"/>
  <c r="L45" i="2" s="1"/>
  <c r="J41" i="2"/>
  <c r="J45" i="2" s="1"/>
  <c r="M42" i="2" l="1"/>
  <c r="M45" i="2"/>
  <c r="J42" i="2"/>
  <c r="L42" i="2"/>
  <c r="K42" i="2"/>
  <c r="I42" i="2"/>
  <c r="I44" i="2"/>
  <c r="J44" i="2" s="1"/>
  <c r="K44" i="2" s="1"/>
  <c r="L44" i="2" s="1"/>
  <c r="M44" i="2" s="1"/>
  <c r="V41" i="2"/>
  <c r="Y41" i="2"/>
  <c r="W41" i="2"/>
  <c r="P41" i="2"/>
  <c r="S41" i="2"/>
  <c r="S45" i="2" s="1"/>
  <c r="N41" i="2"/>
  <c r="X41" i="2"/>
  <c r="T41" i="2"/>
  <c r="Q41" i="2"/>
  <c r="O41" i="2"/>
  <c r="D19" i="2"/>
  <c r="B5" i="4" s="1"/>
  <c r="B9" i="4" s="1"/>
  <c r="E28" i="4" s="1"/>
  <c r="U41" i="2"/>
  <c r="E19" i="2"/>
  <c r="Y97" i="2" s="1"/>
  <c r="R41" i="2"/>
  <c r="Q42" i="2" l="1"/>
  <c r="Q45" i="2"/>
  <c r="V42" i="2"/>
  <c r="V45" i="2"/>
  <c r="U42" i="2"/>
  <c r="U45" i="2"/>
  <c r="T42" i="2"/>
  <c r="T45" i="2"/>
  <c r="P42" i="2"/>
  <c r="P45" i="2"/>
  <c r="X42" i="2"/>
  <c r="X45" i="2"/>
  <c r="W42" i="2"/>
  <c r="W45" i="2"/>
  <c r="R42" i="2"/>
  <c r="R45" i="2"/>
  <c r="O42" i="2"/>
  <c r="O45" i="2"/>
  <c r="N42" i="2"/>
  <c r="N45" i="2"/>
  <c r="Y42" i="2"/>
  <c r="Y45" i="2"/>
  <c r="Y98" i="2"/>
  <c r="Y101" i="2"/>
  <c r="I43" i="2"/>
  <c r="J43" i="2" s="1"/>
  <c r="K43" i="2" s="1"/>
  <c r="L43" i="2" s="1"/>
  <c r="M43" i="2" s="1"/>
  <c r="N44" i="2"/>
  <c r="O44" i="2" s="1"/>
  <c r="P44" i="2" s="1"/>
  <c r="Q44" i="2" s="1"/>
  <c r="R44" i="2" s="1"/>
  <c r="S44" i="2" s="1"/>
  <c r="T44" i="2" s="1"/>
  <c r="U44" i="2" s="1"/>
  <c r="V44" i="2" s="1"/>
  <c r="W44" i="2" s="1"/>
  <c r="X44" i="2" s="1"/>
  <c r="Y44" i="2" s="1"/>
  <c r="S42" i="2"/>
  <c r="D41" i="2"/>
  <c r="U97" i="2"/>
  <c r="O97" i="2"/>
  <c r="S97" i="2"/>
  <c r="T97" i="2"/>
  <c r="V97" i="2"/>
  <c r="P97" i="2"/>
  <c r="L97" i="2"/>
  <c r="Q97" i="2"/>
  <c r="K97" i="2"/>
  <c r="X97" i="2"/>
  <c r="M97" i="2"/>
  <c r="B28" i="4"/>
  <c r="R97" i="2"/>
  <c r="W97" i="2"/>
  <c r="N97" i="2"/>
  <c r="B27" i="4"/>
  <c r="J97" i="2"/>
  <c r="E41" i="2"/>
  <c r="E29" i="4" s="1"/>
  <c r="E27" i="4" l="1"/>
  <c r="C2" i="1" s="1"/>
  <c r="E30" i="4"/>
  <c r="N43" i="2"/>
  <c r="O43" i="2" s="1"/>
  <c r="P43" i="2" s="1"/>
  <c r="Q43" i="2" s="1"/>
  <c r="R43" i="2" s="1"/>
  <c r="S43" i="2" s="1"/>
  <c r="T43" i="2" s="1"/>
  <c r="U43" i="2" s="1"/>
  <c r="V43" i="2" s="1"/>
  <c r="W43" i="2" s="1"/>
  <c r="X43" i="2" s="1"/>
  <c r="Y43" i="2" s="1"/>
  <c r="B30" i="4"/>
  <c r="M98" i="2"/>
  <c r="M101" i="2"/>
  <c r="J98" i="2"/>
  <c r="J101" i="2"/>
  <c r="R98" i="2"/>
  <c r="R101" i="2"/>
  <c r="K98" i="2"/>
  <c r="K101" i="2"/>
  <c r="V98" i="2"/>
  <c r="V101" i="2"/>
  <c r="U98" i="2"/>
  <c r="U101" i="2"/>
  <c r="Q98" i="2"/>
  <c r="Q101" i="2"/>
  <c r="T98" i="2"/>
  <c r="T101" i="2"/>
  <c r="N98" i="2"/>
  <c r="N101" i="2"/>
  <c r="L98" i="2"/>
  <c r="L101" i="2"/>
  <c r="S98" i="2"/>
  <c r="S101" i="2"/>
  <c r="W98" i="2"/>
  <c r="W101" i="2"/>
  <c r="X98" i="2"/>
  <c r="X101" i="2"/>
  <c r="P98" i="2"/>
  <c r="P101" i="2"/>
  <c r="O98" i="2"/>
  <c r="O101" i="2"/>
  <c r="E60" i="2"/>
  <c r="I97" i="2"/>
  <c r="D60" i="2"/>
  <c r="C5" i="4" s="1"/>
  <c r="C9" i="4" s="1"/>
  <c r="I100" i="2" l="1"/>
  <c r="J100" i="2" s="1"/>
  <c r="K100" i="2" s="1"/>
  <c r="L100" i="2" s="1"/>
  <c r="M100" i="2" s="1"/>
  <c r="N100" i="2" s="1"/>
  <c r="O100" i="2" s="1"/>
  <c r="P100" i="2" s="1"/>
  <c r="Q100" i="2" s="1"/>
  <c r="R100" i="2" s="1"/>
  <c r="S100" i="2" s="1"/>
  <c r="T100" i="2" s="1"/>
  <c r="U100" i="2" s="1"/>
  <c r="V100" i="2" s="1"/>
  <c r="W100" i="2" s="1"/>
  <c r="X100" i="2" s="1"/>
  <c r="Y100" i="2" s="1"/>
  <c r="I101" i="2"/>
  <c r="C30" i="4" s="1"/>
  <c r="F28" i="4"/>
  <c r="C28" i="4"/>
  <c r="C27" i="4"/>
  <c r="D97" i="2"/>
  <c r="I98" i="2"/>
  <c r="F30" i="4" s="1"/>
  <c r="E97" i="2"/>
  <c r="F29" i="4" s="1"/>
  <c r="F27" i="4" l="1"/>
  <c r="D2" i="1" s="1"/>
  <c r="I99" i="2"/>
  <c r="J99" i="2" s="1"/>
  <c r="K99" i="2" s="1"/>
  <c r="L99" i="2" s="1"/>
  <c r="M99" i="2" s="1"/>
  <c r="N99" i="2" s="1"/>
  <c r="O99" i="2" s="1"/>
  <c r="P99" i="2" s="1"/>
  <c r="Q99" i="2" s="1"/>
  <c r="R99" i="2" s="1"/>
  <c r="S99" i="2" s="1"/>
  <c r="T99" i="2" s="1"/>
  <c r="U99" i="2" s="1"/>
  <c r="V99" i="2" s="1"/>
  <c r="W99" i="2" s="1"/>
  <c r="X99" i="2" s="1"/>
  <c r="Y99" i="2" s="1"/>
</calcChain>
</file>

<file path=xl/sharedStrings.xml><?xml version="1.0" encoding="utf-8"?>
<sst xmlns="http://schemas.openxmlformats.org/spreadsheetml/2006/main" count="857" uniqueCount="420">
  <si>
    <t>Real Discount Rate</t>
  </si>
  <si>
    <t>Central</t>
  </si>
  <si>
    <t>Financial Year</t>
  </si>
  <si>
    <t>Project Year</t>
  </si>
  <si>
    <t>Discount Rate (Mid Year Discount)</t>
  </si>
  <si>
    <t>Project Assessment Period</t>
  </si>
  <si>
    <t>Standing Data</t>
  </si>
  <si>
    <t>$MAUD</t>
  </si>
  <si>
    <t>Million</t>
  </si>
  <si>
    <t>NPV</t>
  </si>
  <si>
    <t>Key Parameters</t>
  </si>
  <si>
    <t>KVA</t>
  </si>
  <si>
    <t>GWh</t>
  </si>
  <si>
    <t>Value of theft reduction</t>
  </si>
  <si>
    <t xml:space="preserve"> </t>
  </si>
  <si>
    <t>Electricity Distributed in VPN</t>
  </si>
  <si>
    <t>Option 2</t>
  </si>
  <si>
    <t>Summary Benefits (M$AUD)</t>
  </si>
  <si>
    <t>Total</t>
  </si>
  <si>
    <t>MAUD</t>
  </si>
  <si>
    <t>Percent</t>
  </si>
  <si>
    <t>Year</t>
  </si>
  <si>
    <t>Number</t>
  </si>
  <si>
    <t>Years</t>
  </si>
  <si>
    <t>Average</t>
  </si>
  <si>
    <t>Notes</t>
  </si>
  <si>
    <t xml:space="preserve">It does not include any additional devices but relies on the existing AMI devices that provide current and voltage measurement.    </t>
  </si>
  <si>
    <t>It will provide benefits in LV Asset Failure Prediction, LV Phase Identification, LV Mapping, DSS Asset Monitoring and Electricity Theft Detection, Accurate &amp; Dynamic Cost Reflective Pricing, EV Charging Optimisation and Customer Level Monitoring and Optimisation</t>
  </si>
  <si>
    <t>Devices include contestable metering sites and CT measuring devices and communications at critical/high risk distribution transformers.</t>
  </si>
  <si>
    <t>Option 1</t>
  </si>
  <si>
    <t>Year when Option 1 Customer Load Monitoring and Optimisation Available</t>
  </si>
  <si>
    <t>Annual Total Deferred Savings from Summer Saver Program</t>
  </si>
  <si>
    <t>AER State of the  Energy Market - 2018</t>
  </si>
  <si>
    <t>Benefits for Option 2 - Increased Coverage of AMI Devices</t>
  </si>
  <si>
    <t>$/KWh</t>
  </si>
  <si>
    <t>Customers</t>
  </si>
  <si>
    <t>kW</t>
  </si>
  <si>
    <t>Residential Charging Infrastructure</t>
  </si>
  <si>
    <t>Peak Demand Charging capacity required for Evs BAU</t>
  </si>
  <si>
    <t>Commercial Charging Infrastructure (guess)</t>
  </si>
  <si>
    <t xml:space="preserve">List of Input Parameters </t>
  </si>
  <si>
    <t>Controlled load</t>
  </si>
  <si>
    <t>FiT</t>
  </si>
  <si>
    <t>Difference</t>
  </si>
  <si>
    <t>-3.59 c/kWh</t>
  </si>
  <si>
    <t xml:space="preserve">-0.01 c/kWh </t>
  </si>
  <si>
    <t>+1.20 c/kWh</t>
  </si>
  <si>
    <t>+1.57 c/kWh</t>
  </si>
  <si>
    <t>+1.00 c/kWh</t>
  </si>
  <si>
    <t>+4.08 c/kWh</t>
  </si>
  <si>
    <t>+8.70 c/kWh</t>
  </si>
  <si>
    <t>+3.20 c/kWh</t>
  </si>
  <si>
    <t>+7.70 c/kWh</t>
  </si>
  <si>
    <t>+3.09 c/kWh</t>
  </si>
  <si>
    <t>Retailer Tariffs - 16th May 2019</t>
  </si>
  <si>
    <t xml:space="preserve">Year when Option 2 Theft Detection Available </t>
  </si>
  <si>
    <t>Public Charging Infrasturcture</t>
  </si>
  <si>
    <t>kVA</t>
  </si>
  <si>
    <t>Peak Demand Charging Capacity required for Commercial EV sites</t>
  </si>
  <si>
    <t>Peak Network Demand</t>
  </si>
  <si>
    <t>MW</t>
  </si>
  <si>
    <t>MVA</t>
  </si>
  <si>
    <t>Value of MVA Reduction for Distribution Network</t>
  </si>
  <si>
    <t>Value of Under recording UMS</t>
  </si>
  <si>
    <t>IoT Platform for Network Sensors</t>
  </si>
  <si>
    <t>Real-Time Grid Analytics Platform</t>
  </si>
  <si>
    <t>Real-Time LV Power Flow Analysis</t>
  </si>
  <si>
    <t>Real-Time Grid Monitoring and Control</t>
  </si>
  <si>
    <t>LV Management Capability</t>
  </si>
  <si>
    <t>Dynamic Forecasting Capability</t>
  </si>
  <si>
    <t>Real Time Data Platform</t>
  </si>
  <si>
    <t>VPN
Initiative ID</t>
  </si>
  <si>
    <t>Initiative Group</t>
  </si>
  <si>
    <t>Initiative Name</t>
  </si>
  <si>
    <t>Duration
(months)</t>
  </si>
  <si>
    <t>Capex start year</t>
  </si>
  <si>
    <t>Capex</t>
  </si>
  <si>
    <t>Base Annual Opex</t>
  </si>
  <si>
    <t>Real-Time Unified Data Space</t>
  </si>
  <si>
    <t>UD03-VPN</t>
  </si>
  <si>
    <t>GA02-VPN</t>
  </si>
  <si>
    <t>Real-Time Grid Analytics</t>
  </si>
  <si>
    <t>Real-Time Monitoring &amp; Control</t>
  </si>
  <si>
    <t>MC02-VPN</t>
  </si>
  <si>
    <t>MC03-VPN</t>
  </si>
  <si>
    <t>MC05-VPN</t>
  </si>
  <si>
    <t>MC06-VPN</t>
  </si>
  <si>
    <t>UD01-VPN</t>
  </si>
  <si>
    <t>UD04-VPN</t>
  </si>
  <si>
    <t>GA01-VPN</t>
  </si>
  <si>
    <t>GA03-VPN</t>
  </si>
  <si>
    <t>NA01-VPN</t>
  </si>
  <si>
    <t>Network Flexibility and Automation</t>
  </si>
  <si>
    <t>Real-Time Data Platform</t>
  </si>
  <si>
    <t>IoT Platform Extension for Customer Sensors</t>
  </si>
  <si>
    <t>Iot Platform for Network Sensors</t>
  </si>
  <si>
    <t>Real Time LV Power Flow Analysis</t>
  </si>
  <si>
    <t>Real Time Grid Monitoring and Control</t>
  </si>
  <si>
    <t xml:space="preserve">Dynamic Forecasting Capacity </t>
  </si>
  <si>
    <t>Implementation Years</t>
  </si>
  <si>
    <t xml:space="preserve">Opex </t>
  </si>
  <si>
    <t>IoT Platform Extension for Network Sensors</t>
  </si>
  <si>
    <t>Real Time Grid Analytics Platform</t>
  </si>
  <si>
    <t>Costs for Option 2 - Increased Coverage of FlexiGrid</t>
  </si>
  <si>
    <t>Operational Year</t>
  </si>
  <si>
    <t>IOT Platform Extension Customer Sensors</t>
  </si>
  <si>
    <t>Annual Devices Opex for 3 Phase DC</t>
  </si>
  <si>
    <t>Annual Devices Opex for other devices</t>
  </si>
  <si>
    <t>Device Costs</t>
  </si>
  <si>
    <t>Cumulative Number of HV Customers</t>
  </si>
  <si>
    <t>Cumulative Number of LVCT Customers</t>
  </si>
  <si>
    <t>Number of UMS Retrofits</t>
  </si>
  <si>
    <t>Cost of UMS Retrofits</t>
  </si>
  <si>
    <t>Number of HV Customers</t>
  </si>
  <si>
    <t>Cost of HV Customers</t>
  </si>
  <si>
    <t>Number of LVCT Customers</t>
  </si>
  <si>
    <t>Cost of LVCT Customers</t>
  </si>
  <si>
    <t>Number of 3 Phase DC Customers</t>
  </si>
  <si>
    <t>Cumulative Number of 3 Phase DC Customers</t>
  </si>
  <si>
    <t>Capex - Network Devices at Contestable Meter Sites</t>
  </si>
  <si>
    <t>Cost of 3 Phase DC Customers</t>
  </si>
  <si>
    <t>Capex for IT Systems</t>
  </si>
  <si>
    <t>Opex for IT Systems</t>
  </si>
  <si>
    <t>Replacement Capex for IT Systems</t>
  </si>
  <si>
    <t>Cost of reading UMS Retrofit Devices</t>
  </si>
  <si>
    <t>Cost of Reading HV Meters</t>
  </si>
  <si>
    <t>Cost of Reading LVCT Customers</t>
  </si>
  <si>
    <t>Average Number of UMS Retrofit Devices read</t>
  </si>
  <si>
    <t xml:space="preserve">Average Number of HV Customers </t>
  </si>
  <si>
    <t>Average Number of LVCT Customers</t>
  </si>
  <si>
    <t>Average Number of 3 Phase DC Customers</t>
  </si>
  <si>
    <t>Cost of reading 3 Phase DC Customers</t>
  </si>
  <si>
    <t>Opex  for Reading Devices</t>
  </si>
  <si>
    <t>Capex for Network Devices</t>
  </si>
  <si>
    <t>Opex for Network Devices</t>
  </si>
  <si>
    <t>Refresh Capex</t>
  </si>
  <si>
    <t>Average kVA saved per customer</t>
  </si>
  <si>
    <t>MVA Saved</t>
  </si>
  <si>
    <t>Avoided wholesale cost of KWh</t>
  </si>
  <si>
    <t>c/kwh</t>
  </si>
  <si>
    <t>kWh Supplied by otherwise constrained power</t>
  </si>
  <si>
    <t>Value of KWh</t>
  </si>
  <si>
    <t>Number of Customers with load control added</t>
  </si>
  <si>
    <t>Cumulative Number of Customers at start of year</t>
  </si>
  <si>
    <t>Additional Number of Solar and Hot Water Customers that are export Constrained</t>
  </si>
  <si>
    <t>Cumulative Number at Start of the Year</t>
  </si>
  <si>
    <t>kWh</t>
  </si>
  <si>
    <t>Cust Numbers</t>
  </si>
  <si>
    <t>Definition of million included to avoid mistakes in calculations</t>
  </si>
  <si>
    <t>Mark Pilkington e-mail 6th June</t>
  </si>
  <si>
    <t>Annual Number of Customers per year that have load control devices fitted each year</t>
  </si>
  <si>
    <t>Estimate - start early as high benefit</t>
  </si>
  <si>
    <t>Approx wholesale price calculations from Jacobs based on AER, State of the Energy Market Report</t>
  </si>
  <si>
    <t>Program Cost</t>
  </si>
  <si>
    <t xml:space="preserve">Set to align with the value of saving in UE Network Device Rollout Paper </t>
  </si>
  <si>
    <t>Smaller that Option 2 - Assume to stil have some benefit so included at 50% of the value for option 2</t>
  </si>
  <si>
    <t>Appendix B UE Network Device Rollout Paper - average electricity price was 0.28 c/KWh and this uses as conservative 0.2c/kWh after discounts are applied.    Services charges are excluded</t>
  </si>
  <si>
    <t>Cumulative Number of UMS Retrofit (need this for Metering Reading Opex and Replacements)</t>
  </si>
  <si>
    <t>Share for VPN (based on customer numbers)</t>
  </si>
  <si>
    <t>%</t>
  </si>
  <si>
    <t>Share fo UE</t>
  </si>
  <si>
    <t>Average increase in residential peak for customers with EV</t>
  </si>
  <si>
    <t>Increased Peak Demand on LV Network with EV - Residential</t>
  </si>
  <si>
    <t>Increased Peak Demand on LV Network with  EV - Public Infrastructure</t>
  </si>
  <si>
    <t>Number of public charging poles as % of EV</t>
  </si>
  <si>
    <t xml:space="preserve">Number of commercial charging poles as percentage of EV </t>
  </si>
  <si>
    <t>Conservative number, these are likely commercial buildings</t>
  </si>
  <si>
    <t>#</t>
  </si>
  <si>
    <t>NPV - C/B Ratio</t>
  </si>
  <si>
    <t>$/kVA</t>
  </si>
  <si>
    <t/>
  </si>
  <si>
    <t>kVa - cumulative</t>
  </si>
  <si>
    <t>kVa - par annum</t>
  </si>
  <si>
    <t>Public Charging</t>
  </si>
  <si>
    <t>Residential Charging</t>
  </si>
  <si>
    <t>Commercial Charging</t>
  </si>
  <si>
    <t>MVA - cumulative</t>
  </si>
  <si>
    <t>CitiPower Augmentation for 2021-2025</t>
  </si>
  <si>
    <t>Powercor Augmentation for 2021-2025</t>
  </si>
  <si>
    <t>UE Augmentation for 2021-2025</t>
  </si>
  <si>
    <t>Augmentation Capex 21-25- Powercor</t>
  </si>
  <si>
    <t>Augmentation Capex 21-25 - VPN</t>
  </si>
  <si>
    <t>Augmentation Capex 21-25 - CitiPower</t>
  </si>
  <si>
    <t>VPN Combined number, based on size</t>
  </si>
  <si>
    <t xml:space="preserve">Alternative 1 </t>
  </si>
  <si>
    <t>Alternative 2</t>
  </si>
  <si>
    <t>$/MVA calculations residential - total reduced augmentation capex</t>
  </si>
  <si>
    <t>Annual decrease in MD through EV control - kVA Residential</t>
  </si>
  <si>
    <t>Augmentation Capex 21-25 - United Energy</t>
  </si>
  <si>
    <t>Large share of public charging controlled by DNSP assumed</t>
  </si>
  <si>
    <t>MVA - par annum (incremental)</t>
  </si>
  <si>
    <t xml:space="preserve">Growth of fitting load control devices </t>
  </si>
  <si>
    <t>Based on input from VPN</t>
  </si>
  <si>
    <t xml:space="preserve">Aligns with air conditioner customers from Perth Solar City and from the US report suggested 0.8-1.5kW.   </t>
  </si>
  <si>
    <t>MVA Incremental Reduction</t>
  </si>
  <si>
    <t>Conservative - Less than 0.1% of customers per annum</t>
  </si>
  <si>
    <t xml:space="preserve">Jacobs estimate </t>
  </si>
  <si>
    <t>Initial assumption, conservative number</t>
  </si>
  <si>
    <t>Commercial &amp; Public charging will require option 2</t>
  </si>
  <si>
    <t xml:space="preserve">Percent </t>
  </si>
  <si>
    <t xml:space="preserve">Estimate </t>
  </si>
  <si>
    <t xml:space="preserve">Total benefits </t>
  </si>
  <si>
    <t>Total Number of VPN Residential Customers</t>
  </si>
  <si>
    <t>Based on data supplied by VPN (Network Device Rollout - Business CaseV017(Powercor)</t>
  </si>
  <si>
    <t>Network Device Roll-out costs - Option 2</t>
  </si>
  <si>
    <t>CitiPower/ Powercor - VPN</t>
  </si>
  <si>
    <t>Rollout %</t>
  </si>
  <si>
    <t>Unmetered Supply (UMS) - New $</t>
  </si>
  <si>
    <t>Unmetered Supply (UMS) - New #</t>
  </si>
  <si>
    <t>Unmetered Supply (UMS) - Retrofit #</t>
  </si>
  <si>
    <t>Unmetered Supply (UMS) - Retrofit $</t>
  </si>
  <si>
    <t xml:space="preserve">Start Rollout Option 2 Devices </t>
  </si>
  <si>
    <t xml:space="preserve">Number of years Rollout Option 2 Devices </t>
  </si>
  <si>
    <t>3 Phase Customers #</t>
  </si>
  <si>
    <t>3 Phase Customers $</t>
  </si>
  <si>
    <t>Start date:</t>
  </si>
  <si>
    <t>Years RO:</t>
  </si>
  <si>
    <t>LVCT Customers #</t>
  </si>
  <si>
    <t>LVCT Customers $</t>
  </si>
  <si>
    <t>HV Customers #</t>
  </si>
  <si>
    <t>HV Customers $</t>
  </si>
  <si>
    <t xml:space="preserve">Total $ for additional device rollouts </t>
  </si>
  <si>
    <t>Parameters for Option 2</t>
  </si>
  <si>
    <t>LVCT Customer Rollout</t>
  </si>
  <si>
    <t xml:space="preserve">3 Phase Customers Rollout </t>
  </si>
  <si>
    <t xml:space="preserve">HV Customer Rollout </t>
  </si>
  <si>
    <t>pa</t>
  </si>
  <si>
    <t xml:space="preserve">Annual Devices Opex for UMS </t>
  </si>
  <si>
    <t>Meter operational cost</t>
  </si>
  <si>
    <t>Estimate</t>
  </si>
  <si>
    <t>Number of customers with controlled EV (incremental)</t>
  </si>
  <si>
    <t>Number of customers with controlled EV incremental</t>
  </si>
  <si>
    <t xml:space="preserve">Cumulative Number of Customers </t>
  </si>
  <si>
    <t>Number of customers with controlled EV (cumulative)</t>
  </si>
  <si>
    <t>Additional customers that could be equipped with load control</t>
  </si>
  <si>
    <t>Applicable for</t>
  </si>
  <si>
    <t>Number of additional Customers with load control added - Option 2</t>
  </si>
  <si>
    <t>Average kVA saved per large customer</t>
  </si>
  <si>
    <t>Cumulative Number of additional Customers with load control added - Option 2</t>
  </si>
  <si>
    <t>$Million</t>
  </si>
  <si>
    <t xml:space="preserve">Weighted increase of devices </t>
  </si>
  <si>
    <t>Roll-out % of all devices</t>
  </si>
  <si>
    <t>Unmetered Service (UMS) Rollout - Excluding all public &amp; watchman lights</t>
  </si>
  <si>
    <t>Averge demand per NC-UMS category: "Other"</t>
  </si>
  <si>
    <t>kWh/a</t>
  </si>
  <si>
    <t>Mark Pilkington email 28/6/2019</t>
  </si>
  <si>
    <t xml:space="preserve">Unmetered supply rolled-out </t>
  </si>
  <si>
    <t>Underecording per UMS in VPN per annum</t>
  </si>
  <si>
    <t>Value per KWh saved</t>
  </si>
  <si>
    <t>Year when Option 2 UMS under recording Available</t>
  </si>
  <si>
    <t>based on costs for Energy Partners project. (email Aaron Obrien 25/06/2019), including some costs for customer service</t>
  </si>
  <si>
    <t>Likely to see significant growth as includes NBN sites and exchanges.</t>
  </si>
  <si>
    <t>Demand growth of UMS "Other" per annum</t>
  </si>
  <si>
    <t xml:space="preserve">Residential Evs for VPN </t>
  </si>
  <si>
    <t>EV max added demand (kW) per vehicle - charging pattern</t>
  </si>
  <si>
    <t>kW - Neutral</t>
  </si>
  <si>
    <t>kW - Fast</t>
  </si>
  <si>
    <t>kW - Slow</t>
  </si>
  <si>
    <t>kW - Scenario</t>
  </si>
  <si>
    <t>Total cost Option 1</t>
  </si>
  <si>
    <t>C/B Ratio</t>
  </si>
  <si>
    <t>Total benefits for Option 1</t>
  </si>
  <si>
    <t>Total Benefits for Option 2</t>
  </si>
  <si>
    <t>Assumed discount rate</t>
  </si>
  <si>
    <t>Net benefit - time series Option 1</t>
  </si>
  <si>
    <t>Breakeven Option 1</t>
  </si>
  <si>
    <t>Benefit Specific Inputs</t>
  </si>
  <si>
    <t>Incremental capacity</t>
  </si>
  <si>
    <t>Net Benefits for Option 2</t>
  </si>
  <si>
    <t>Cumulative Net Benefits for Option 2</t>
  </si>
  <si>
    <t>IRR</t>
  </si>
  <si>
    <t xml:space="preserve">Avoided augmentation expenditure </t>
  </si>
  <si>
    <t xml:space="preserve">VPN cost reflective pricing program, total rolling savings to augmentation </t>
  </si>
  <si>
    <t xml:space="preserve">Years to reach savings </t>
  </si>
  <si>
    <t>Time between start of program and savings materialise</t>
  </si>
  <si>
    <t>1 Phase Customers #</t>
  </si>
  <si>
    <t>1 Phase Customers $</t>
  </si>
  <si>
    <t>1 Phase Customers Rollout</t>
  </si>
  <si>
    <t>LV Tx - S/S &gt;300 kVA (with 2 or more contestable customers) #</t>
  </si>
  <si>
    <t>LV Tx - S/S &gt;300 kVA (with 2 or more contestable customers) $</t>
  </si>
  <si>
    <t>Number of Non-ZSS Distribution Transformers (&gt;300 kVA)</t>
  </si>
  <si>
    <t>Cost of &gt;300 kVA Network Devices</t>
  </si>
  <si>
    <t>Cumulative number of network devices on &gt; 300 kVA Network Devices</t>
  </si>
  <si>
    <t>Average Number of Non-ZSS Distribution Transformers (&gt; 300kVA)</t>
  </si>
  <si>
    <t>Cost of reading devices for &gt;300 kVA Transformers</t>
  </si>
  <si>
    <t>LV Tx-S/S Rollout &gt;300 kVA with 2 or more contestable customers</t>
  </si>
  <si>
    <t>Number of 1 Phase DC Customers</t>
  </si>
  <si>
    <t>Cost of 1 Phase DC Customers</t>
  </si>
  <si>
    <t>Cumulative Number of 1 Phase DC Customers</t>
  </si>
  <si>
    <t>Average Number of 1 Phase DC Customers</t>
  </si>
  <si>
    <t>Cost of reading 1 Phase DC Customers</t>
  </si>
  <si>
    <t>Capex - Network Device Installations at Non-ZSS Distribution Transformer Sites +IT cost</t>
  </si>
  <si>
    <t>Network Device IT Cost</t>
  </si>
  <si>
    <t>Benefit Category 4 - Program Costs (opex)</t>
  </si>
  <si>
    <t>Option 1 - Introduction of Digital Network</t>
  </si>
  <si>
    <t>This adds the Digital Network infrastructure to the baseline option including foundation, comms, Integration, Security and Application Platforms.</t>
  </si>
  <si>
    <t xml:space="preserve">The foundation for Digital Network is implemented in Option 1.  This option increases the current coverage of network devices to improve efficiency, accuracy, effectiveness and coverage of the Digital Network as well as adding additional functionalities. </t>
  </si>
  <si>
    <t>Provided by regulation in Options Analysis - Digital Network v2.0</t>
  </si>
  <si>
    <t>Digital Network System reflecting what is done in UE with saving of around $8m per year</t>
  </si>
  <si>
    <t>Percentage of Commercial Charging infrastructure charging through Digital Network Control</t>
  </si>
  <si>
    <t>Percentage of Public charging Infrastructure Charging at Peak with Digital Networks</t>
  </si>
  <si>
    <t>Initial number of solar customers that are export constrained where VPN use Digital Network to control charging</t>
  </si>
  <si>
    <t>Increase in number of solar customers that are export constrained where VPN use Digital Network to control charging</t>
  </si>
  <si>
    <t>Benefits for Option 1 - Introduction of Digital Network (and Baseline for relevant Initiatives)</t>
  </si>
  <si>
    <t>Electricity theft in VPN that could be avoided with Full metering and Digital Network</t>
  </si>
  <si>
    <t>Value of Electricity Theft that could be avoided with Full metering and Digital Network</t>
  </si>
  <si>
    <t>Peak Demand Charging capacity required for Evs Option 1 Digital Network</t>
  </si>
  <si>
    <t>Peak Demand Charging capacity required for Residential Evs Option 1 Digital Network</t>
  </si>
  <si>
    <t>Peak Demand Charging capacity required for Public Infrastructure with Option 2 Digital Network</t>
  </si>
  <si>
    <t>Saving in Peak Demand Capacity from Digital Network Initiatives for Public Infrastructure</t>
  </si>
  <si>
    <t>Value of Capacity Savings from Digital Network for Public Infrastructure</t>
  </si>
  <si>
    <t>Peak Demand Charging capacity require for Commercial Sites with Option 2 Digital Network</t>
  </si>
  <si>
    <t>Peak Demand Charging capacity savings for Commercial Sites with Option 2 Digital Network</t>
  </si>
  <si>
    <t>Costs for Option 1 - Introduction of Digital Network</t>
  </si>
  <si>
    <t>Cost Calculations</t>
  </si>
  <si>
    <t>Total cost Option 2</t>
  </si>
  <si>
    <t>Replacement Costs % of original Cost</t>
  </si>
  <si>
    <t xml:space="preserve">Replacement asset life </t>
  </si>
  <si>
    <t>General Assumptions on IT Costs</t>
  </si>
  <si>
    <t>LV Model Extension</t>
  </si>
  <si>
    <t xml:space="preserve">DER - Monitoring Capability </t>
  </si>
  <si>
    <t>DER Dispatching Automation</t>
  </si>
  <si>
    <t>DER- Dispatching Automation</t>
  </si>
  <si>
    <t>DER - Monitoring Capability</t>
  </si>
  <si>
    <t>DER - Dispatching Automation</t>
  </si>
  <si>
    <t>Benefit Category 1 - Reduction in Non Technical Losses</t>
  </si>
  <si>
    <t>Benefit Category 2 - Cost Reflective Pricing</t>
  </si>
  <si>
    <t>Benefit Category 3 - Electric Vehicle (EV) Charging Optimisation</t>
  </si>
  <si>
    <t>Benefit Category 4 - Customer Load Monitoring and Optimisation</t>
  </si>
  <si>
    <t>Benefit Category 1 - Reduction of non-technical losses</t>
  </si>
  <si>
    <t>Benefit Category 2 - Program Costs (opex)</t>
  </si>
  <si>
    <t>Benefit Category 3 - Program Costs (opex)</t>
  </si>
  <si>
    <t>20 Year Summary NPV</t>
  </si>
  <si>
    <t>20 Year Opex Summary NPV</t>
  </si>
  <si>
    <t xml:space="preserve">Total OPEX NPV </t>
  </si>
  <si>
    <t>Summary Costs ($MAUD)</t>
  </si>
  <si>
    <t>Net Benefit (NPV) - $MAUD</t>
  </si>
  <si>
    <t>Subtotal - Capex</t>
  </si>
  <si>
    <t>Subtotal - Opex</t>
  </si>
  <si>
    <t>Subtotal - Repex</t>
  </si>
  <si>
    <t>Subtotal - Program Opex</t>
  </si>
  <si>
    <t>Benefit Category 3 - Standard Program Costs for Customer Load control</t>
  </si>
  <si>
    <t>Benefit Category 3 - Incremental Costs with increased customer load control</t>
  </si>
  <si>
    <t>Program Cost - Opex</t>
  </si>
  <si>
    <t xml:space="preserve">Benefit Category 2 - All Opex </t>
  </si>
  <si>
    <t>Program Costs for benefit categories 2, 3 and 4</t>
  </si>
  <si>
    <t>Benefit Category 4 - Standard Program Costs for Customer Load control</t>
  </si>
  <si>
    <t>Benefit Category 4 - Incremental Costs with increased customer load control</t>
  </si>
  <si>
    <t>Benefit Category 4 - Standard Program Costs for Solar to Hot Water Control</t>
  </si>
  <si>
    <t>Benefit Category 4 - Incremental Costs with Solar to Hot Water Control</t>
  </si>
  <si>
    <t>Subtotal - Network Device Capex</t>
  </si>
  <si>
    <t xml:space="preserve">Subtotal - Network Device Capex </t>
  </si>
  <si>
    <t xml:space="preserve">Subtotal - Network Device Reading (Opex) </t>
  </si>
  <si>
    <t>Benefit Category 2 - Standard Program Cost</t>
  </si>
  <si>
    <t>Benefit Category 2 - Program cost for expansion</t>
  </si>
  <si>
    <t>Excluding Opex</t>
  </si>
  <si>
    <t>Including Opex</t>
  </si>
  <si>
    <t>Total CAPEX NPV</t>
  </si>
  <si>
    <t>Total Opex</t>
  </si>
  <si>
    <t>Total Capex</t>
  </si>
  <si>
    <t>Total #</t>
  </si>
  <si>
    <t>Rollout #</t>
  </si>
  <si>
    <t>Hardware $</t>
  </si>
  <si>
    <t>Installation $</t>
  </si>
  <si>
    <t>Commercial Load Control (Benefit Category 4)</t>
  </si>
  <si>
    <t xml:space="preserve">EV Take Up Numbers </t>
  </si>
  <si>
    <t>Total costs</t>
  </si>
  <si>
    <t>kVa demand increase savings - Benefit Category 4</t>
  </si>
  <si>
    <t>kVa demand increase savings - Benefit Category 3</t>
  </si>
  <si>
    <t>Total Demand Deferred/reduced - Benefit Category 3 and 4</t>
  </si>
  <si>
    <t>Percentage of Energy Theft in Victoria that could be reduced with full metering and network devices at Substations</t>
  </si>
  <si>
    <t>Percentage theft reduction with Digital Network Option 1</t>
  </si>
  <si>
    <t>Year when Theft Detection is available in Option 1</t>
  </si>
  <si>
    <t>Percentage Theft Reduction with Digital Network Option 2</t>
  </si>
  <si>
    <t xml:space="preserve">Percentage of electricity of UMS customer that is under recorded </t>
  </si>
  <si>
    <t>Percentage unrecorded UMS reduction with Digital Network Option 2</t>
  </si>
  <si>
    <t>Year when Digital Network and 'Summer Saver' type program is available for VPN with Option 1</t>
  </si>
  <si>
    <t>Appendix B UE Network Device Rollout Paper 0 .03% could be saved with Option 3 (metering on everything).  This may be total theft</t>
  </si>
  <si>
    <t>Number of periods to spread augmentation benefits</t>
  </si>
  <si>
    <t>Increased value with additional meter deployment - program extension in Option 2</t>
  </si>
  <si>
    <t>Estimate number of commercial charging poles assumed 20% of all EV</t>
  </si>
  <si>
    <t>Number of public charging poles assumed only 20% of all EV</t>
  </si>
  <si>
    <t>Percentage of EVs charging through Digital Network Control on TOU tariffs</t>
  </si>
  <si>
    <t xml:space="preserve">EV AEMO 2019 Scenario - Number of EVs </t>
  </si>
  <si>
    <t>Year when Option 1 Digital Network Charging for Residential EVs available</t>
  </si>
  <si>
    <t>Year when Option 2 Digital Network Charging for Public Charging Infrastructure available</t>
  </si>
  <si>
    <t>Year when Option 2 Digital Network Charging for Commercial Infrastructure available</t>
  </si>
  <si>
    <t>Assume at least 10 kWh per day for a hot water storage system (around 3650 kWh per year, this could be higher as typical usage is around 5,000 per annum) - Still needs grid charging - assumed 1/3rd can be charged with solar PV</t>
  </si>
  <si>
    <t>Year when hot water storage and solar PV load control program begins</t>
  </si>
  <si>
    <t>Large customers included in program - extended coverage in Option 2</t>
  </si>
  <si>
    <t>Based on UE being around $12m.  Assume the equivalent saved each year so treated as one permanent deferment. Did not increase this number as VPN does not spend as much on DSS (ref: comments from UE on model)</t>
  </si>
  <si>
    <t>Average annual kWh of Solar PV utilised for charging hot water storage (as opposed to not being utilised/tripped/curtailed)</t>
  </si>
  <si>
    <t>Average estimate of large customer demand impact - conservative, could be much higher</t>
  </si>
  <si>
    <t>Option 2 - Increased coverage of AMI and other network devices</t>
  </si>
  <si>
    <t>NPV $MAUD</t>
  </si>
  <si>
    <t>All years in this model represent financial years</t>
  </si>
  <si>
    <t>VPN IT Platform Cost for Option  1 and 2</t>
  </si>
  <si>
    <t>FTEs for Benefit Category 2</t>
  </si>
  <si>
    <t>FTEs for Benefit Category 3 - EV Control</t>
  </si>
  <si>
    <t>Additional Cost per customer for Benefit Category 3- EV control</t>
  </si>
  <si>
    <t>FTEs for Benefit Category 4 - AC Control</t>
  </si>
  <si>
    <t>Additional Cost per customer for Benefit Category 4- AC control</t>
  </si>
  <si>
    <t>FTSe for Benefit Category 4 - Hot Water load Control with Solar</t>
  </si>
  <si>
    <t>Additional Cost per customer for Benefit Category 4- Hot Water load control</t>
  </si>
  <si>
    <t>Recurring program costs (legal, marketing) for all Benefit Categories</t>
  </si>
  <si>
    <t>Cost per FTE - General</t>
  </si>
  <si>
    <t>Benefit Calculations</t>
  </si>
  <si>
    <t>5 Year Cost Summary (FY2021-2025) - NPV</t>
  </si>
  <si>
    <t>Number - Central</t>
  </si>
  <si>
    <t>Number - Fast Change</t>
  </si>
  <si>
    <t>Number - Slow Change</t>
  </si>
  <si>
    <t>Central, Fast Change or Slow Change as per AEMO EV forecast ISP2019</t>
  </si>
  <si>
    <t>Residential EV Vic (AEMO ISP 2019)</t>
  </si>
  <si>
    <t>Average over 20 years, based on mixture of different charging patterns (convernient, night-time charging, daytime charging), VIC EV growth as per AEMO ISP 2019 and adjusted to relative size of VPN in VIC. This value is not used a time-series is included in the model.</t>
  </si>
  <si>
    <t>C=1, F=2, S=3</t>
  </si>
  <si>
    <t>Breakeven Option 1 - no Opex</t>
  </si>
  <si>
    <t>Cumulative Net Benefits for Option 2 - no Opex</t>
  </si>
  <si>
    <t>Other</t>
  </si>
  <si>
    <t>Net benefit - time series Option 1, no opex</t>
  </si>
  <si>
    <t>Net benefit - time series Option 2, no opex</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</si>
</sst>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8" formatCode="&quot;$&quot;#,##0.00;[Red]\-&quot;$&quot;#,##0.00"/>
    <numFmt numFmtId="44" formatCode="_-&quot;$&quot;* #,##0.00_-;\-&quot;$&quot;* #,##0.00_-;_-&quot;$&quot;* &quot;-&quot;??_-;_-@_-"/>
    <numFmt numFmtId="43" formatCode="_-* #,##0.00_-;\-* #,##0.00_-;_-* &quot;-&quot;??_-;_-@_-"/>
    <numFmt numFmtId="164" formatCode="_-* #,##0.0_-;* \(#,##0.0\)_-;_-* &quot;-&quot;??_-;_-@_-"/>
    <numFmt numFmtId="165" formatCode="_-* #,##0_-;\-* #,##0_-;_-* &quot;-&quot;??_-;_-@_-"/>
    <numFmt numFmtId="166" formatCode="0.000%"/>
    <numFmt numFmtId="167" formatCode="_-* #,##0.00_-;* \(#,##0.00\)_-;_-* &quot;-&quot;??_-;_-@_-"/>
    <numFmt numFmtId="168" formatCode="0.0"/>
    <numFmt numFmtId="169" formatCode="_-[$$-C09]* #,##0.00_-;\-[$$-C09]* #,##0.00_-;_-[$$-C09]* &quot;-&quot;??_-;_-@_-"/>
    <numFmt numFmtId="170" formatCode="&quot;$&quot;#,##0"/>
    <numFmt numFmtId="171" formatCode="&quot;$&quot;#,##0.0;[Red]\-&quot;$&quot;#,##0.0"/>
    <numFmt numFmtId="172" formatCode="0.0%"/>
    <numFmt numFmtId="173" formatCode="_-* #,##0.000_-;* \(#,##0.000\)_-;_-* &quot;-&quot;??_-;_-@_-"/>
    <numFmt numFmtId="174" formatCode="0.000"/>
    <numFmt numFmtId="175" formatCode="_-* #,##0.0_-;\-* #,##0.0_-;_-* &quot;-&quot;??_-;_-@_-"/>
    <numFmt numFmtId="176" formatCode="_-&quot;$&quot;* #,##0_-;\-&quot;$&quot;* #,##0_-;_-&quot;$&quot;* &quot;-&quot;??_-;_-@_-"/>
    <numFmt numFmtId="177" formatCode="0.0000"/>
    <numFmt numFmtId="178" formatCode="0.00000"/>
    <numFmt numFmtId="179" formatCode="0.000000"/>
  </numFmts>
  <fonts count="5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2"/>
      <color theme="1"/>
      <name val="Calibri"/>
      <family val="2"/>
      <scheme val="minor"/>
    </font>
    <font>
      <sz val="11"/>
      <name val="Calibri"/>
      <family val="2"/>
      <scheme val="minor"/>
    </font>
    <font>
      <sz val="12"/>
      <color rgb="FFFF0000"/>
      <name val="Calibri"/>
      <family val="2"/>
      <scheme val="minor"/>
    </font>
    <font>
      <b/>
      <sz val="14"/>
      <color theme="1"/>
      <name val="Calibri"/>
      <family val="2"/>
      <scheme val="minor"/>
    </font>
    <font>
      <sz val="11"/>
      <name val="Calibri"/>
      <family val="2"/>
    </font>
    <font>
      <b/>
      <sz val="8"/>
      <color rgb="FFFFFFFF"/>
      <name val="Calibri"/>
      <family val="2"/>
    </font>
    <font>
      <sz val="8"/>
      <color rgb="FF000000"/>
      <name val="Calibri"/>
      <family val="2"/>
    </font>
    <font>
      <b/>
      <sz val="8"/>
      <color rgb="FF000000"/>
      <name val="Calibri"/>
      <family val="2"/>
    </font>
    <font>
      <b/>
      <sz val="11"/>
      <color rgb="FFFF0000"/>
      <name val="Calibri"/>
      <family val="2"/>
      <scheme val="minor"/>
    </font>
    <font>
      <b/>
      <sz val="11"/>
      <name val="Calibri"/>
      <family val="2"/>
      <scheme val="minor"/>
    </font>
    <font>
      <sz val="12"/>
      <name val="Calibri"/>
      <family val="2"/>
      <scheme val="minor"/>
    </font>
    <font>
      <sz val="11"/>
      <color rgb="FF006100"/>
      <name val="Calibri"/>
      <family val="2"/>
      <scheme val="minor"/>
    </font>
    <font>
      <sz val="11"/>
      <color rgb="FF9C0006"/>
      <name val="Calibri"/>
      <family val="2"/>
      <scheme val="minor"/>
    </font>
    <font>
      <b/>
      <sz val="14"/>
      <color theme="0"/>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0"/>
      <color theme="1"/>
      <name val="Calibri"/>
      <family val="2"/>
      <scheme val="minor"/>
    </font>
    <font>
      <sz val="10"/>
      <color theme="1"/>
      <name val="Arial"/>
      <family val="2"/>
    </font>
    <font>
      <sz val="10"/>
      <name val="Arial"/>
      <family val="2"/>
    </font>
    <font>
      <sz val="10"/>
      <color theme="0"/>
      <name val="Arial"/>
      <family val="2"/>
    </font>
    <font>
      <sz val="8"/>
      <color rgb="FF000099"/>
      <name val="Arial"/>
      <family val="2"/>
    </font>
    <font>
      <b/>
      <sz val="8"/>
      <name val="Arial"/>
      <family val="2"/>
    </font>
    <font>
      <u/>
      <sz val="10"/>
      <color theme="10"/>
      <name val="Arial"/>
      <family val="2"/>
    </font>
    <font>
      <b/>
      <sz val="11"/>
      <color theme="1"/>
      <name val="Arial"/>
      <family val="2"/>
    </font>
    <font>
      <b/>
      <sz val="8"/>
      <color theme="1"/>
      <name val="Arial"/>
      <family val="2"/>
    </font>
    <font>
      <sz val="8"/>
      <color theme="1"/>
      <name val="Arial"/>
      <family val="2"/>
    </font>
    <font>
      <sz val="11"/>
      <color theme="1"/>
      <name val="Arial"/>
      <family val="2"/>
    </font>
    <font>
      <u/>
      <sz val="8"/>
      <name val="Arial"/>
      <family val="2"/>
    </font>
    <font>
      <sz val="10"/>
      <color rgb="FF006100"/>
      <name val="Arial"/>
      <family val="2"/>
    </font>
    <font>
      <sz val="11"/>
      <color rgb="FF000000"/>
      <name val="Calibri"/>
      <family val="2"/>
      <scheme val="minor"/>
    </font>
    <font>
      <u/>
      <sz val="11"/>
      <color theme="10"/>
      <name val="Calibri"/>
      <family val="2"/>
      <scheme val="minor"/>
    </font>
    <font>
      <sz val="11"/>
      <color rgb="FF9C6500"/>
      <name val="Calibri"/>
      <family val="2"/>
      <scheme val="minor"/>
    </font>
    <font>
      <b/>
      <sz val="12"/>
      <color theme="1"/>
      <name val="Calibri"/>
      <family val="2"/>
      <scheme val="minor"/>
    </font>
    <font>
      <b/>
      <sz val="16"/>
      <color theme="1"/>
      <name val="Calibri"/>
      <family val="2"/>
      <scheme val="minor"/>
    </font>
    <font>
      <i/>
      <sz val="11"/>
      <color theme="1"/>
      <name val="Calibri"/>
      <family val="2"/>
      <scheme val="minor"/>
    </font>
    <font>
      <b/>
      <sz val="12"/>
      <color rgb="FF000000"/>
      <name val="Calibri"/>
      <family val="2"/>
    </font>
    <font>
      <b/>
      <i/>
      <sz val="11"/>
      <color theme="1"/>
      <name val="Calibri"/>
      <family val="2"/>
      <scheme val="minor"/>
    </font>
    <font>
      <b/>
      <sz val="12"/>
      <name val="Calibri"/>
      <family val="2"/>
      <scheme val="minor"/>
    </font>
    <font>
      <b/>
      <i/>
      <sz val="11"/>
      <name val="Calibri"/>
      <family val="2"/>
      <scheme val="minor"/>
    </font>
    <font>
      <sz val="12"/>
      <color rgb="FF000000"/>
      <name val="Calibri"/>
      <family val="2"/>
    </font>
    <font>
      <b/>
      <sz val="11"/>
      <color rgb="FF0000FF"/>
      <name val="Calibri"/>
      <family val="2"/>
      <scheme val="minor"/>
    </font>
    <font>
      <sz val="11"/>
      <color rgb="FF0000FF"/>
      <name val="Calibri"/>
      <family val="2"/>
      <scheme val="minor"/>
    </font>
    <font>
      <b/>
      <sz val="16"/>
      <color theme="0"/>
      <name val="Calibri"/>
      <family val="2"/>
      <scheme val="minor"/>
    </font>
    <font>
      <b/>
      <sz val="12"/>
      <color theme="0"/>
      <name val="Calibri"/>
      <family val="2"/>
      <scheme val="minor"/>
    </font>
  </fonts>
  <fills count="43">
    <fill>
      <patternFill patternType="none"/>
    </fill>
    <fill>
      <patternFill patternType="gray125"/>
    </fill>
    <fill>
      <patternFill patternType="solid">
        <fgColor theme="7" tint="0.39997558519241921"/>
        <bgColor indexed="64"/>
      </patternFill>
    </fill>
    <fill>
      <patternFill patternType="solid">
        <fgColor rgb="FF305496"/>
        <bgColor indexed="64"/>
      </patternFill>
    </fill>
    <fill>
      <patternFill patternType="solid">
        <fgColor rgb="FFC6EFCE"/>
      </patternFill>
    </fill>
    <fill>
      <patternFill patternType="solid">
        <fgColor rgb="FFFFC7CE"/>
      </patternFill>
    </fill>
    <fill>
      <patternFill patternType="solid">
        <fgColor rgb="FF0070C0"/>
        <bgColor indexed="64"/>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48671"/>
        <bgColor indexed="64"/>
      </patternFill>
    </fill>
    <fill>
      <patternFill patternType="solid">
        <fgColor rgb="FFFFC222"/>
        <bgColor indexed="64"/>
      </patternFill>
    </fill>
    <fill>
      <patternFill patternType="solid">
        <fgColor rgb="FFE9E7E2"/>
        <bgColor indexed="64"/>
      </patternFill>
    </fill>
    <fill>
      <patternFill patternType="solid">
        <fgColor rgb="FFD9D9D9"/>
        <bgColor indexed="64"/>
      </patternFill>
    </fill>
    <fill>
      <patternFill patternType="solid">
        <fgColor theme="0" tint="-4.9989318521683403E-2"/>
        <bgColor indexed="64"/>
      </patternFill>
    </fill>
    <fill>
      <patternFill patternType="solid">
        <fgColor rgb="FFFFFFCD"/>
        <bgColor indexed="64"/>
      </patternFill>
    </fill>
    <fill>
      <patternFill patternType="solid">
        <fgColor rgb="FF002060"/>
        <bgColor indexed="64"/>
      </patternFill>
    </fill>
  </fills>
  <borders count="40">
    <border>
      <left/>
      <right/>
      <top/>
      <bottom/>
      <diagonal/>
    </border>
    <border>
      <left/>
      <right/>
      <top/>
      <bottom style="dotted">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theme="0"/>
      </left>
      <right style="medium">
        <color theme="0"/>
      </right>
      <top style="medium">
        <color theme="0"/>
      </top>
      <bottom style="medium">
        <color theme="0"/>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71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5" fillId="4" borderId="0" applyNumberFormat="0" applyBorder="0" applyAlignment="0" applyProtection="0"/>
    <xf numFmtId="0" fontId="16" fillId="5" borderId="0" applyNumberFormat="0" applyBorder="0" applyAlignment="0" applyProtection="0"/>
    <xf numFmtId="0" fontId="18" fillId="0" borderId="0" applyNumberFormat="0" applyFill="0" applyBorder="0" applyAlignment="0" applyProtection="0"/>
    <xf numFmtId="0" fontId="19" fillId="0" borderId="11" applyNumberFormat="0" applyFill="0" applyAlignment="0" applyProtection="0"/>
    <xf numFmtId="0" fontId="20" fillId="0" borderId="12" applyNumberFormat="0" applyFill="0" applyAlignment="0" applyProtection="0"/>
    <xf numFmtId="0" fontId="21" fillId="0" borderId="13" applyNumberFormat="0" applyFill="0" applyAlignment="0" applyProtection="0"/>
    <xf numFmtId="0" fontId="21" fillId="0" borderId="0" applyNumberFormat="0" applyFill="0" applyBorder="0" applyAlignment="0" applyProtection="0"/>
    <xf numFmtId="0" fontId="22" fillId="7" borderId="0" applyNumberFormat="0" applyBorder="0" applyAlignment="0" applyProtection="0"/>
    <xf numFmtId="0" fontId="23" fillId="8" borderId="14" applyNumberFormat="0" applyAlignment="0" applyProtection="0"/>
    <xf numFmtId="0" fontId="24" fillId="9" borderId="15" applyNumberFormat="0" applyAlignment="0" applyProtection="0"/>
    <xf numFmtId="0" fontId="25" fillId="9" borderId="14" applyNumberFormat="0" applyAlignment="0" applyProtection="0"/>
    <xf numFmtId="0" fontId="26" fillId="0" borderId="16" applyNumberFormat="0" applyFill="0" applyAlignment="0" applyProtection="0"/>
    <xf numFmtId="0" fontId="27" fillId="10" borderId="17" applyNumberFormat="0" applyAlignment="0" applyProtection="0"/>
    <xf numFmtId="0" fontId="2" fillId="0" borderId="0" applyNumberFormat="0" applyFill="0" applyBorder="0" applyAlignment="0" applyProtection="0"/>
    <xf numFmtId="0" fontId="1" fillId="11" borderId="18" applyNumberFormat="0" applyFont="0" applyAlignment="0" applyProtection="0"/>
    <xf numFmtId="0" fontId="28" fillId="0" borderId="0" applyNumberFormat="0" applyFill="0" applyBorder="0" applyAlignment="0" applyProtection="0"/>
    <xf numFmtId="0" fontId="3" fillId="0" borderId="19"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9"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9"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43" fontId="1" fillId="0" borderId="0" applyFont="0" applyFill="0" applyBorder="0" applyAlignment="0" applyProtection="0"/>
    <xf numFmtId="0" fontId="34" fillId="39" borderId="0">
      <alignment horizontal="center" wrapText="1"/>
    </xf>
    <xf numFmtId="0" fontId="41" fillId="0" borderId="0" applyNumberFormat="0" applyFill="0" applyBorder="0" applyAlignment="0" applyProtection="0"/>
    <xf numFmtId="0" fontId="39" fillId="0" borderId="0"/>
    <xf numFmtId="0" fontId="1" fillId="0" borderId="0"/>
    <xf numFmtId="0" fontId="39" fillId="0" borderId="0"/>
    <xf numFmtId="0" fontId="32" fillId="0" borderId="0"/>
    <xf numFmtId="43" fontId="1" fillId="0" borderId="0" applyFont="0" applyFill="0" applyBorder="0" applyAlignment="0" applyProtection="0"/>
    <xf numFmtId="44" fontId="1" fillId="0" borderId="0" applyFont="0" applyFill="0" applyBorder="0" applyAlignment="0" applyProtection="0"/>
    <xf numFmtId="0" fontId="39" fillId="40" borderId="0" applyNumberFormat="0" applyFill="0" applyBorder="0" applyAlignment="0" applyProtection="0"/>
    <xf numFmtId="0" fontId="37" fillId="40" borderId="0" applyNumberFormat="0" applyFill="0" applyBorder="0" applyAlignment="0" applyProtection="0"/>
    <xf numFmtId="0" fontId="35" fillId="37" borderId="20">
      <alignment horizontal="center" vertical="center" wrapText="1"/>
    </xf>
    <xf numFmtId="175" fontId="32" fillId="0" borderId="20" applyNumberFormat="0" applyAlignment="0">
      <alignment horizontal="center"/>
    </xf>
    <xf numFmtId="175" fontId="32" fillId="38" borderId="20" applyNumberFormat="0" applyAlignment="0">
      <alignment horizontal="center"/>
    </xf>
    <xf numFmtId="0" fontId="33" fillId="36" borderId="20">
      <alignment horizontal="center"/>
    </xf>
    <xf numFmtId="0" fontId="38" fillId="40" borderId="0"/>
    <xf numFmtId="0" fontId="30" fillId="0" borderId="0"/>
    <xf numFmtId="44" fontId="30" fillId="0" borderId="0" applyFont="0" applyFill="0" applyBorder="0" applyAlignment="0" applyProtection="0"/>
    <xf numFmtId="9" fontId="30" fillId="0" borderId="0" applyFont="0" applyFill="0" applyBorder="0" applyAlignment="0" applyProtection="0"/>
    <xf numFmtId="0" fontId="30" fillId="0" borderId="0"/>
    <xf numFmtId="0" fontId="33" fillId="36" borderId="20" applyAlignment="0">
      <alignment horizontal="center"/>
    </xf>
    <xf numFmtId="0" fontId="42" fillId="4" borderId="0" applyNumberFormat="0" applyBorder="0" applyAlignment="0" applyProtection="0"/>
    <xf numFmtId="43" fontId="1" fillId="0" borderId="0" applyFont="0" applyFill="0" applyBorder="0" applyAlignment="0" applyProtection="0"/>
    <xf numFmtId="0" fontId="36" fillId="0" borderId="0" applyNumberFormat="0" applyFill="0" applyBorder="0" applyAlignment="0" applyProtection="0"/>
    <xf numFmtId="0" fontId="40"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30" fillId="0" borderId="0"/>
    <xf numFmtId="44" fontId="30" fillId="0" borderId="0" applyFont="0" applyFill="0" applyBorder="0" applyAlignment="0" applyProtection="0"/>
    <xf numFmtId="9"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0" fontId="43" fillId="0" borderId="0"/>
    <xf numFmtId="43" fontId="43" fillId="0" borderId="0" applyFont="0" applyFill="0" applyBorder="0" applyAlignment="0" applyProtection="0"/>
    <xf numFmtId="0" fontId="44" fillId="0" borderId="0" applyNumberFormat="0" applyFill="0" applyBorder="0" applyAlignment="0" applyProtection="0"/>
    <xf numFmtId="0" fontId="40" fillId="0" borderId="0"/>
    <xf numFmtId="0" fontId="43" fillId="0" borderId="0"/>
    <xf numFmtId="43" fontId="43" fillId="0" borderId="0" applyFont="0" applyFill="0" applyBorder="0" applyAlignment="0" applyProtection="0"/>
    <xf numFmtId="43" fontId="43" fillId="0" borderId="0" applyFont="0" applyFill="0" applyBorder="0" applyAlignment="0" applyProtection="0"/>
    <xf numFmtId="0" fontId="45" fillId="7" borderId="0" applyNumberFormat="0" applyBorder="0" applyAlignment="0" applyProtection="0"/>
    <xf numFmtId="0" fontId="29" fillId="15" borderId="0" applyNumberFormat="0" applyBorder="0" applyAlignment="0" applyProtection="0"/>
    <xf numFmtId="0" fontId="29" fillId="19" borderId="0" applyNumberFormat="0" applyBorder="0" applyAlignment="0" applyProtection="0"/>
    <xf numFmtId="0" fontId="29" fillId="23" borderId="0" applyNumberFormat="0" applyBorder="0" applyAlignment="0" applyProtection="0"/>
    <xf numFmtId="0" fontId="29" fillId="27" borderId="0" applyNumberFormat="0" applyBorder="0" applyAlignment="0" applyProtection="0"/>
    <xf numFmtId="0" fontId="29" fillId="31" borderId="0" applyNumberFormat="0" applyBorder="0" applyAlignment="0" applyProtection="0"/>
    <xf numFmtId="0" fontId="29" fillId="35" borderId="0" applyNumberFormat="0" applyBorder="0" applyAlignment="0" applyProtection="0"/>
    <xf numFmtId="0" fontId="1" fillId="0" borderId="0"/>
    <xf numFmtId="0" fontId="1" fillId="11" borderId="18" applyNumberFormat="0" applyFont="0" applyAlignment="0" applyProtection="0"/>
    <xf numFmtId="9" fontId="1" fillId="0" borderId="0" applyFont="0" applyFill="0" applyBorder="0" applyAlignment="0" applyProtection="0"/>
    <xf numFmtId="0" fontId="32" fillId="0" borderId="0"/>
    <xf numFmtId="0" fontId="31" fillId="0" borderId="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220">
    <xf numFmtId="0" fontId="0" fillId="0" borderId="0" xfId="0"/>
    <xf numFmtId="0" fontId="3" fillId="0" borderId="0" xfId="0" applyFont="1"/>
    <xf numFmtId="0" fontId="2" fillId="0" borderId="0" xfId="0" applyFont="1"/>
    <xf numFmtId="164" fontId="4" fillId="0" borderId="1" xfId="1" applyNumberFormat="1" applyFont="1" applyFill="1" applyBorder="1"/>
    <xf numFmtId="164" fontId="4" fillId="0" borderId="0" xfId="1" applyNumberFormat="1" applyFont="1" applyFill="1" applyBorder="1"/>
    <xf numFmtId="10" fontId="0" fillId="0" borderId="0" xfId="0" applyNumberFormat="1"/>
    <xf numFmtId="165" fontId="0" fillId="0" borderId="0" xfId="1" applyNumberFormat="1" applyFont="1"/>
    <xf numFmtId="2" fontId="0" fillId="0" borderId="0" xfId="0" applyNumberFormat="1"/>
    <xf numFmtId="0" fontId="0" fillId="0" borderId="0" xfId="0" applyAlignment="1">
      <alignment wrapText="1"/>
    </xf>
    <xf numFmtId="9" fontId="0" fillId="0" borderId="0" xfId="3" applyFont="1"/>
    <xf numFmtId="0" fontId="0" fillId="0" borderId="0" xfId="0" applyAlignment="1">
      <alignment vertical="center" wrapText="1"/>
    </xf>
    <xf numFmtId="0" fontId="3" fillId="0" borderId="0" xfId="0" applyFont="1" applyAlignment="1">
      <alignment wrapText="1"/>
    </xf>
    <xf numFmtId="0" fontId="3" fillId="0" borderId="0" xfId="0" applyFont="1" applyAlignment="1">
      <alignment vertical="center" wrapText="1"/>
    </xf>
    <xf numFmtId="0" fontId="0" fillId="2" borderId="0" xfId="0" applyFill="1"/>
    <xf numFmtId="2" fontId="0" fillId="0" borderId="0" xfId="1" applyNumberFormat="1" applyFont="1"/>
    <xf numFmtId="0" fontId="6" fillId="0" borderId="0" xfId="0" applyFont="1"/>
    <xf numFmtId="0" fontId="7" fillId="0" borderId="0" xfId="0" applyFont="1"/>
    <xf numFmtId="0" fontId="0" fillId="0" borderId="0" xfId="0" applyFill="1"/>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8" fillId="0" borderId="5" xfId="0" applyFont="1" applyBorder="1" applyAlignment="1">
      <alignment vertical="center" wrapText="1"/>
    </xf>
    <xf numFmtId="0" fontId="5" fillId="0" borderId="0" xfId="0" applyFont="1"/>
    <xf numFmtId="0" fontId="10" fillId="0" borderId="7" xfId="0" applyFont="1" applyBorder="1" applyAlignment="1">
      <alignment vertical="center" wrapText="1"/>
    </xf>
    <xf numFmtId="167" fontId="4" fillId="0" borderId="1" xfId="1" applyNumberFormat="1" applyFont="1" applyFill="1" applyBorder="1"/>
    <xf numFmtId="167" fontId="4" fillId="0" borderId="0" xfId="1" applyNumberFormat="1" applyFont="1" applyFill="1" applyBorder="1"/>
    <xf numFmtId="0" fontId="0" fillId="0" borderId="0" xfId="0" applyFont="1"/>
    <xf numFmtId="0" fontId="12" fillId="0" borderId="0" xfId="0" applyFont="1"/>
    <xf numFmtId="0" fontId="13" fillId="0" borderId="0" xfId="0" applyFont="1"/>
    <xf numFmtId="1" fontId="0" fillId="0" borderId="0" xfId="0" applyNumberFormat="1"/>
    <xf numFmtId="164" fontId="14" fillId="0" borderId="1" xfId="1" applyNumberFormat="1" applyFont="1" applyFill="1" applyBorder="1"/>
    <xf numFmtId="167" fontId="14" fillId="0" borderId="1" xfId="1" applyNumberFormat="1" applyFont="1" applyFill="1" applyBorder="1"/>
    <xf numFmtId="3" fontId="0" fillId="0" borderId="0" xfId="0" applyNumberFormat="1"/>
    <xf numFmtId="0" fontId="0" fillId="0" borderId="0" xfId="0" quotePrefix="1"/>
    <xf numFmtId="2" fontId="3" fillId="0" borderId="0" xfId="0" applyNumberFormat="1" applyFont="1"/>
    <xf numFmtId="168" fontId="0" fillId="0" borderId="0" xfId="0" applyNumberFormat="1"/>
    <xf numFmtId="170" fontId="0" fillId="0" borderId="0" xfId="2" applyNumberFormat="1" applyFont="1"/>
    <xf numFmtId="0" fontId="3" fillId="0" borderId="0" xfId="0" applyFont="1" applyAlignment="1">
      <alignment horizontal="center"/>
    </xf>
    <xf numFmtId="0" fontId="3" fillId="0" borderId="0" xfId="0" applyFont="1" applyAlignment="1">
      <alignment horizontal="right"/>
    </xf>
    <xf numFmtId="170" fontId="3" fillId="0" borderId="0" xfId="0" applyNumberFormat="1" applyFont="1"/>
    <xf numFmtId="170" fontId="3" fillId="0" borderId="0" xfId="2" applyNumberFormat="1" applyFont="1"/>
    <xf numFmtId="169" fontId="3" fillId="0" borderId="0" xfId="0" applyNumberFormat="1" applyFont="1"/>
    <xf numFmtId="165" fontId="3" fillId="0" borderId="0" xfId="1" applyNumberFormat="1" applyFont="1"/>
    <xf numFmtId="2" fontId="5" fillId="0" borderId="0" xfId="0" applyNumberFormat="1" applyFont="1"/>
    <xf numFmtId="0" fontId="0" fillId="6" borderId="0" xfId="0" applyFill="1"/>
    <xf numFmtId="0" fontId="17" fillId="6" borderId="0" xfId="0" applyFont="1" applyFill="1"/>
    <xf numFmtId="0" fontId="3" fillId="6" borderId="0" xfId="0" applyFont="1" applyFill="1"/>
    <xf numFmtId="2" fontId="3" fillId="6" borderId="0" xfId="0" applyNumberFormat="1" applyFont="1" applyFill="1"/>
    <xf numFmtId="168" fontId="3" fillId="0" borderId="0" xfId="0" applyNumberFormat="1" applyFont="1"/>
    <xf numFmtId="167" fontId="0" fillId="0" borderId="0" xfId="0" applyNumberFormat="1"/>
    <xf numFmtId="174" fontId="0" fillId="0" borderId="0" xfId="0" applyNumberFormat="1"/>
    <xf numFmtId="0" fontId="0" fillId="0" borderId="0" xfId="0"/>
    <xf numFmtId="0" fontId="0" fillId="0" borderId="0" xfId="0" applyBorder="1"/>
    <xf numFmtId="175" fontId="32" fillId="0" borderId="0" xfId="45" applyNumberFormat="1" applyFont="1" applyBorder="1" applyAlignment="1"/>
    <xf numFmtId="0" fontId="11" fillId="0" borderId="9" xfId="0" applyFont="1" applyBorder="1" applyAlignment="1">
      <alignment horizontal="right" vertical="center" wrapText="1"/>
    </xf>
    <xf numFmtId="0" fontId="11" fillId="0" borderId="10" xfId="0" applyFont="1" applyBorder="1" applyAlignment="1">
      <alignment horizontal="right" vertical="center" wrapText="1"/>
    </xf>
    <xf numFmtId="0" fontId="0" fillId="0" borderId="0" xfId="0"/>
    <xf numFmtId="0" fontId="46" fillId="0" borderId="0" xfId="0" applyFont="1"/>
    <xf numFmtId="0" fontId="48" fillId="0" borderId="0" xfId="0" applyFont="1" applyAlignment="1">
      <alignment horizontal="center"/>
    </xf>
    <xf numFmtId="2" fontId="48" fillId="0" borderId="0" xfId="0" applyNumberFormat="1" applyFont="1"/>
    <xf numFmtId="0" fontId="48" fillId="0" borderId="0" xfId="0" applyFont="1"/>
    <xf numFmtId="0" fontId="48" fillId="6" borderId="0" xfId="0" applyFont="1" applyFill="1"/>
    <xf numFmtId="0" fontId="0" fillId="0" borderId="0" xfId="0" applyAlignment="1"/>
    <xf numFmtId="0" fontId="49" fillId="0" borderId="0" xfId="0" applyFont="1" applyFill="1" applyBorder="1" applyAlignment="1">
      <alignment vertical="center" wrapText="1"/>
    </xf>
    <xf numFmtId="0" fontId="11" fillId="0" borderId="7" xfId="0" applyFont="1" applyBorder="1" applyAlignment="1">
      <alignment vertical="center" wrapText="1"/>
    </xf>
    <xf numFmtId="0" fontId="11" fillId="0" borderId="6" xfId="0" applyFont="1" applyBorder="1" applyAlignment="1">
      <alignment vertical="center" wrapText="1"/>
    </xf>
    <xf numFmtId="2" fontId="50" fillId="0" borderId="0" xfId="0" applyNumberFormat="1" applyFont="1"/>
    <xf numFmtId="164" fontId="51" fillId="0" borderId="0" xfId="1" applyNumberFormat="1" applyFont="1" applyFill="1" applyBorder="1"/>
    <xf numFmtId="167" fontId="51" fillId="0" borderId="0" xfId="1" applyNumberFormat="1" applyFont="1" applyFill="1" applyBorder="1"/>
    <xf numFmtId="1" fontId="0" fillId="0" borderId="0" xfId="0" applyNumberFormat="1" applyFont="1"/>
    <xf numFmtId="9" fontId="0" fillId="0" borderId="0" xfId="0" applyNumberFormat="1" applyFont="1"/>
    <xf numFmtId="170" fontId="0" fillId="0" borderId="0" xfId="0" applyNumberFormat="1" applyFont="1"/>
    <xf numFmtId="0" fontId="0" fillId="0" borderId="0" xfId="0" applyFont="1"/>
    <xf numFmtId="0" fontId="47" fillId="0" borderId="0" xfId="0" applyFont="1"/>
    <xf numFmtId="0" fontId="0" fillId="0" borderId="0" xfId="0" applyFont="1" applyAlignment="1"/>
    <xf numFmtId="178" fontId="0" fillId="0" borderId="0" xfId="0" applyNumberFormat="1"/>
    <xf numFmtId="179" fontId="0" fillId="0" borderId="0" xfId="0" applyNumberFormat="1"/>
    <xf numFmtId="2" fontId="0" fillId="0" borderId="0" xfId="0" applyNumberFormat="1" applyFont="1"/>
    <xf numFmtId="172" fontId="0" fillId="0" borderId="0" xfId="0" applyNumberFormat="1" applyFont="1"/>
    <xf numFmtId="172" fontId="4" fillId="0" borderId="0" xfId="1" applyNumberFormat="1" applyFont="1" applyFill="1" applyBorder="1"/>
    <xf numFmtId="2" fontId="0" fillId="0" borderId="0" xfId="0" applyNumberFormat="1" applyFill="1"/>
    <xf numFmtId="0" fontId="9" fillId="3" borderId="7" xfId="0" applyFont="1" applyFill="1" applyBorder="1" applyAlignment="1">
      <alignment horizontal="center"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11" fillId="0" borderId="7" xfId="0" applyFont="1" applyBorder="1" applyAlignment="1">
      <alignment horizontal="left" vertical="center" wrapText="1"/>
    </xf>
    <xf numFmtId="0" fontId="9" fillId="3" borderId="6" xfId="0" applyFont="1" applyFill="1" applyBorder="1" applyAlignment="1">
      <alignment horizontal="center" vertical="center" wrapText="1"/>
    </xf>
    <xf numFmtId="0" fontId="9" fillId="3" borderId="8" xfId="0" applyFont="1" applyFill="1" applyBorder="1" applyAlignment="1">
      <alignment horizontal="center" vertical="center" wrapText="1"/>
    </xf>
    <xf numFmtId="165" fontId="0" fillId="41" borderId="0" xfId="1" applyNumberFormat="1" applyFont="1" applyFill="1"/>
    <xf numFmtId="174" fontId="0" fillId="41" borderId="0" xfId="0" applyNumberFormat="1" applyFill="1"/>
    <xf numFmtId="0" fontId="27" fillId="42" borderId="0" xfId="0" applyFont="1" applyFill="1"/>
    <xf numFmtId="0" fontId="29" fillId="42" borderId="0" xfId="0" applyFont="1" applyFill="1"/>
    <xf numFmtId="0" fontId="0" fillId="0" borderId="21" xfId="0" applyBorder="1"/>
    <xf numFmtId="1" fontId="0" fillId="0" borderId="21" xfId="0" applyNumberFormat="1" applyBorder="1"/>
    <xf numFmtId="10" fontId="0" fillId="0" borderId="21" xfId="0" applyNumberFormat="1" applyBorder="1"/>
    <xf numFmtId="174" fontId="0" fillId="0" borderId="21" xfId="0" applyNumberFormat="1" applyBorder="1"/>
    <xf numFmtId="0" fontId="27" fillId="42" borderId="0" xfId="0" applyFont="1" applyFill="1" applyAlignment="1">
      <alignment horizontal="center"/>
    </xf>
    <xf numFmtId="0" fontId="3" fillId="0" borderId="0" xfId="0" applyFont="1" applyFill="1"/>
    <xf numFmtId="44" fontId="5" fillId="0" borderId="0" xfId="2" applyFont="1"/>
    <xf numFmtId="44" fontId="5" fillId="0" borderId="0" xfId="0" applyNumberFormat="1" applyFont="1"/>
    <xf numFmtId="0" fontId="13" fillId="0" borderId="21" xfId="0" applyFont="1" applyBorder="1"/>
    <xf numFmtId="44" fontId="13" fillId="0" borderId="0" xfId="2" applyFont="1"/>
    <xf numFmtId="0" fontId="13" fillId="0" borderId="0" xfId="0" applyFont="1" applyAlignment="1">
      <alignment horizontal="center"/>
    </xf>
    <xf numFmtId="0" fontId="5" fillId="0" borderId="21" xfId="0" applyFont="1" applyBorder="1"/>
    <xf numFmtId="44" fontId="13" fillId="0" borderId="0" xfId="0" applyNumberFormat="1" applyFont="1"/>
    <xf numFmtId="0" fontId="13" fillId="0" borderId="23" xfId="0" applyFont="1" applyFill="1" applyBorder="1"/>
    <xf numFmtId="44" fontId="13" fillId="0" borderId="24" xfId="0" applyNumberFormat="1" applyFont="1" applyFill="1" applyBorder="1"/>
    <xf numFmtId="0" fontId="5" fillId="0" borderId="24" xfId="0" applyFont="1" applyFill="1" applyBorder="1"/>
    <xf numFmtId="44" fontId="13" fillId="0" borderId="25" xfId="0" applyNumberFormat="1" applyFont="1" applyFill="1" applyBorder="1"/>
    <xf numFmtId="0" fontId="13" fillId="0" borderId="23" xfId="0" applyFont="1" applyFill="1" applyBorder="1" applyAlignment="1">
      <alignment horizontal="left"/>
    </xf>
    <xf numFmtId="0" fontId="5" fillId="0" borderId="0" xfId="0" applyFont="1" applyFill="1"/>
    <xf numFmtId="0" fontId="13" fillId="0" borderId="23" xfId="0" applyFont="1" applyFill="1" applyBorder="1" applyAlignment="1">
      <alignment horizontal="center"/>
    </xf>
    <xf numFmtId="0" fontId="13" fillId="0" borderId="25" xfId="0" applyFont="1" applyFill="1" applyBorder="1" applyAlignment="1">
      <alignment horizontal="center"/>
    </xf>
    <xf numFmtId="0" fontId="13" fillId="0" borderId="33" xfId="0" applyFont="1" applyFill="1" applyBorder="1"/>
    <xf numFmtId="171" fontId="13" fillId="0" borderId="26" xfId="2" applyNumberFormat="1" applyFont="1" applyFill="1" applyBorder="1"/>
    <xf numFmtId="171" fontId="13" fillId="0" borderId="27" xfId="2" applyNumberFormat="1" applyFont="1" applyFill="1" applyBorder="1"/>
    <xf numFmtId="171" fontId="13" fillId="0" borderId="0" xfId="2" applyNumberFormat="1" applyFont="1" applyFill="1"/>
    <xf numFmtId="8" fontId="13" fillId="0" borderId="26" xfId="0" applyNumberFormat="1" applyFont="1" applyFill="1" applyBorder="1"/>
    <xf numFmtId="8" fontId="13" fillId="0" borderId="27" xfId="0" applyNumberFormat="1" applyFont="1" applyFill="1" applyBorder="1"/>
    <xf numFmtId="0" fontId="13" fillId="0" borderId="34" xfId="0" applyFont="1" applyFill="1" applyBorder="1"/>
    <xf numFmtId="2" fontId="13" fillId="0" borderId="28" xfId="0" applyNumberFormat="1" applyFont="1" applyFill="1" applyBorder="1"/>
    <xf numFmtId="2" fontId="13" fillId="0" borderId="29" xfId="0" applyNumberFormat="1" applyFont="1" applyFill="1" applyBorder="1"/>
    <xf numFmtId="2" fontId="13" fillId="0" borderId="0" xfId="0" applyNumberFormat="1" applyFont="1" applyFill="1"/>
    <xf numFmtId="0" fontId="13" fillId="0" borderId="35" xfId="0" applyFont="1" applyFill="1" applyBorder="1"/>
    <xf numFmtId="172" fontId="13" fillId="0" borderId="30" xfId="0" applyNumberFormat="1" applyFont="1" applyFill="1" applyBorder="1"/>
    <xf numFmtId="172" fontId="13" fillId="0" borderId="31" xfId="0" applyNumberFormat="1" applyFont="1" applyFill="1" applyBorder="1"/>
    <xf numFmtId="172" fontId="13" fillId="0" borderId="0" xfId="0" applyNumberFormat="1" applyFont="1" applyFill="1"/>
    <xf numFmtId="0" fontId="5" fillId="40" borderId="0" xfId="0" applyFont="1" applyFill="1"/>
    <xf numFmtId="44" fontId="5" fillId="40" borderId="21" xfId="2" applyFont="1" applyFill="1" applyBorder="1"/>
    <xf numFmtId="44" fontId="5" fillId="40" borderId="0" xfId="0" applyNumberFormat="1" applyFont="1" applyFill="1"/>
    <xf numFmtId="44" fontId="5" fillId="40" borderId="21" xfId="0" applyNumberFormat="1" applyFont="1" applyFill="1" applyBorder="1"/>
    <xf numFmtId="0" fontId="5" fillId="40" borderId="21" xfId="0" applyFont="1" applyFill="1" applyBorder="1"/>
    <xf numFmtId="0" fontId="13" fillId="40" borderId="21" xfId="0" applyFont="1" applyFill="1" applyBorder="1"/>
    <xf numFmtId="0" fontId="5" fillId="40" borderId="24" xfId="0" applyFont="1" applyFill="1" applyBorder="1"/>
    <xf numFmtId="0" fontId="5" fillId="40" borderId="25" xfId="0" applyFont="1" applyFill="1" applyBorder="1"/>
    <xf numFmtId="172" fontId="13" fillId="40" borderId="28" xfId="0" applyNumberFormat="1" applyFont="1" applyFill="1" applyBorder="1"/>
    <xf numFmtId="172" fontId="13" fillId="40" borderId="29" xfId="0" applyNumberFormat="1" applyFont="1" applyFill="1" applyBorder="1"/>
    <xf numFmtId="0" fontId="17" fillId="42" borderId="0" xfId="0" applyFont="1" applyFill="1"/>
    <xf numFmtId="168" fontId="3" fillId="0" borderId="22" xfId="0" applyNumberFormat="1" applyFont="1" applyBorder="1"/>
    <xf numFmtId="166" fontId="13" fillId="41" borderId="22" xfId="3" applyNumberFormat="1" applyFont="1" applyFill="1" applyBorder="1"/>
    <xf numFmtId="0" fontId="0" fillId="41" borderId="22" xfId="0" applyFill="1" applyBorder="1"/>
    <xf numFmtId="3" fontId="0" fillId="41" borderId="22" xfId="0" applyNumberFormat="1" applyFill="1" applyBorder="1"/>
    <xf numFmtId="165" fontId="0" fillId="41" borderId="22" xfId="1" applyNumberFormat="1" applyFont="1" applyFill="1" applyBorder="1"/>
    <xf numFmtId="170" fontId="0" fillId="41" borderId="22" xfId="2" applyNumberFormat="1" applyFont="1" applyFill="1" applyBorder="1"/>
    <xf numFmtId="1" fontId="0" fillId="41" borderId="22" xfId="1" applyNumberFormat="1" applyFont="1" applyFill="1" applyBorder="1"/>
    <xf numFmtId="9" fontId="0" fillId="41" borderId="22" xfId="3" applyFont="1" applyFill="1" applyBorder="1"/>
    <xf numFmtId="10" fontId="0" fillId="41" borderId="22" xfId="0" applyNumberFormat="1" applyFill="1" applyBorder="1"/>
    <xf numFmtId="9" fontId="0" fillId="41" borderId="22" xfId="0" applyNumberFormat="1" applyFill="1" applyBorder="1"/>
    <xf numFmtId="172" fontId="0" fillId="41" borderId="22" xfId="3" applyNumberFormat="1" applyFont="1" applyFill="1" applyBorder="1"/>
    <xf numFmtId="0" fontId="0" fillId="0" borderId="21" xfId="0" applyFill="1" applyBorder="1"/>
    <xf numFmtId="0" fontId="13" fillId="0" borderId="0" xfId="5" applyFont="1" applyFill="1"/>
    <xf numFmtId="0" fontId="5" fillId="0" borderId="0" xfId="5" applyFont="1" applyFill="1"/>
    <xf numFmtId="0" fontId="5" fillId="0" borderId="21" xfId="5" applyFont="1" applyFill="1" applyBorder="1"/>
    <xf numFmtId="9" fontId="0" fillId="0" borderId="21" xfId="3" applyFont="1" applyBorder="1"/>
    <xf numFmtId="0" fontId="2" fillId="0" borderId="21" xfId="0" applyFont="1" applyBorder="1"/>
    <xf numFmtId="0" fontId="52" fillId="0" borderId="0" xfId="0" applyFont="1" applyFill="1"/>
    <xf numFmtId="0" fontId="0" fillId="0" borderId="0" xfId="0" applyFont="1" applyFill="1"/>
    <xf numFmtId="0" fontId="5" fillId="0" borderId="21" xfId="0" applyFont="1" applyFill="1" applyBorder="1"/>
    <xf numFmtId="2" fontId="0" fillId="41" borderId="22" xfId="0" applyNumberFormat="1" applyFill="1" applyBorder="1"/>
    <xf numFmtId="1" fontId="0" fillId="41" borderId="22" xfId="0" applyNumberFormat="1" applyFill="1" applyBorder="1" applyAlignment="1">
      <alignment horizontal="right"/>
    </xf>
    <xf numFmtId="0" fontId="3" fillId="0" borderId="21" xfId="0" applyFont="1" applyFill="1" applyBorder="1"/>
    <xf numFmtId="0" fontId="53" fillId="0" borderId="0" xfId="0" applyFont="1" applyFill="1" applyBorder="1" applyAlignment="1">
      <alignment vertical="center" wrapText="1"/>
    </xf>
    <xf numFmtId="9" fontId="4" fillId="41" borderId="22" xfId="0" applyNumberFormat="1" applyFont="1" applyFill="1" applyBorder="1" applyAlignment="1">
      <alignment horizontal="center"/>
    </xf>
    <xf numFmtId="0" fontId="4" fillId="41" borderId="22" xfId="0" applyFont="1" applyFill="1" applyBorder="1" applyAlignment="1">
      <alignment horizontal="center"/>
    </xf>
    <xf numFmtId="0" fontId="10" fillId="0" borderId="9" xfId="0" applyFont="1" applyBorder="1" applyAlignment="1">
      <alignment vertical="center" wrapText="1"/>
    </xf>
    <xf numFmtId="0" fontId="10" fillId="0" borderId="36" xfId="0" applyFont="1" applyBorder="1" applyAlignment="1">
      <alignment horizontal="left" vertical="center" wrapText="1"/>
    </xf>
    <xf numFmtId="0" fontId="10" fillId="0" borderId="37" xfId="0" applyFont="1" applyBorder="1" applyAlignment="1">
      <alignment horizontal="left" vertical="center" wrapText="1"/>
    </xf>
    <xf numFmtId="0" fontId="9" fillId="3" borderId="38" xfId="0" applyFont="1" applyFill="1" applyBorder="1" applyAlignment="1">
      <alignment horizontal="center" vertical="center" wrapText="1"/>
    </xf>
    <xf numFmtId="0" fontId="11" fillId="0" borderId="32" xfId="0" applyFont="1" applyBorder="1" applyAlignment="1">
      <alignment horizontal="right" vertical="center" wrapText="1"/>
    </xf>
    <xf numFmtId="0" fontId="11" fillId="0" borderId="39" xfId="0" applyFont="1" applyBorder="1" applyAlignment="1">
      <alignment horizontal="right" vertical="center" wrapText="1"/>
    </xf>
    <xf numFmtId="0" fontId="11" fillId="0" borderId="8" xfId="0" applyFont="1" applyBorder="1" applyAlignment="1">
      <alignment horizontal="right" vertical="center" wrapText="1"/>
    </xf>
    <xf numFmtId="3" fontId="11" fillId="0" borderId="8" xfId="0" applyNumberFormat="1" applyFont="1" applyBorder="1" applyAlignment="1">
      <alignment horizontal="center" vertical="center" wrapText="1"/>
    </xf>
    <xf numFmtId="0" fontId="10" fillId="41" borderId="22" xfId="0" applyFont="1" applyFill="1" applyBorder="1" applyAlignment="1">
      <alignment horizontal="center" vertical="center" wrapText="1"/>
    </xf>
    <xf numFmtId="3" fontId="10" fillId="41" borderId="22" xfId="0" applyNumberFormat="1" applyFont="1" applyFill="1" applyBorder="1" applyAlignment="1">
      <alignment horizontal="center" vertical="center" wrapText="1"/>
    </xf>
    <xf numFmtId="0" fontId="10" fillId="41" borderId="22" xfId="0" applyFont="1" applyFill="1" applyBorder="1" applyAlignment="1">
      <alignment horizontal="center" vertical="center" wrapText="1"/>
    </xf>
    <xf numFmtId="3" fontId="10" fillId="41" borderId="22" xfId="0" applyNumberFormat="1" applyFont="1" applyFill="1" applyBorder="1" applyAlignment="1">
      <alignment horizontal="center" vertical="center" wrapText="1"/>
    </xf>
    <xf numFmtId="9" fontId="0" fillId="40" borderId="22" xfId="0" applyNumberFormat="1" applyFill="1" applyBorder="1"/>
    <xf numFmtId="1" fontId="29" fillId="42" borderId="0" xfId="0" applyNumberFormat="1" applyFont="1" applyFill="1"/>
    <xf numFmtId="0" fontId="54" fillId="41" borderId="22" xfId="4" applyFont="1" applyFill="1" applyBorder="1" applyAlignment="1">
      <alignment horizontal="center"/>
    </xf>
    <xf numFmtId="1" fontId="54" fillId="41" borderId="22" xfId="4" applyNumberFormat="1" applyFont="1" applyFill="1" applyBorder="1" applyAlignment="1">
      <alignment horizontal="center"/>
    </xf>
    <xf numFmtId="0" fontId="54" fillId="41" borderId="22" xfId="4" applyFont="1" applyFill="1" applyBorder="1"/>
    <xf numFmtId="170" fontId="54" fillId="41" borderId="22" xfId="4" applyNumberFormat="1" applyFont="1" applyFill="1" applyBorder="1"/>
    <xf numFmtId="1" fontId="54" fillId="41" borderId="35" xfId="4" applyNumberFormat="1" applyFont="1" applyFill="1" applyBorder="1" applyAlignment="1">
      <alignment horizontal="center"/>
    </xf>
    <xf numFmtId="170" fontId="54" fillId="41" borderId="35" xfId="4" applyNumberFormat="1" applyFont="1" applyFill="1" applyBorder="1"/>
    <xf numFmtId="0" fontId="0" fillId="0" borderId="21" xfId="0" applyFont="1" applyBorder="1"/>
    <xf numFmtId="169" fontId="0" fillId="0" borderId="21" xfId="0" applyNumberFormat="1" applyFont="1" applyBorder="1"/>
    <xf numFmtId="0" fontId="54" fillId="41" borderId="35" xfId="4" applyFont="1" applyFill="1" applyBorder="1" applyAlignment="1">
      <alignment horizontal="center"/>
    </xf>
    <xf numFmtId="0" fontId="27" fillId="42" borderId="0" xfId="0" applyFont="1" applyFill="1" applyAlignment="1">
      <alignment horizontal="right"/>
    </xf>
    <xf numFmtId="1" fontId="27" fillId="42" borderId="0" xfId="0" applyNumberFormat="1" applyFont="1" applyFill="1" applyAlignment="1">
      <alignment horizontal="left"/>
    </xf>
    <xf numFmtId="0" fontId="27" fillId="42" borderId="0" xfId="0" applyFont="1" applyFill="1" applyAlignment="1">
      <alignment horizontal="left"/>
    </xf>
    <xf numFmtId="1" fontId="0" fillId="0" borderId="21" xfId="0" applyNumberFormat="1" applyFont="1" applyBorder="1"/>
    <xf numFmtId="0" fontId="0" fillId="0" borderId="24" xfId="0" applyFont="1" applyBorder="1"/>
    <xf numFmtId="176" fontId="0" fillId="0" borderId="24" xfId="2" applyNumberFormat="1" applyFont="1" applyBorder="1"/>
    <xf numFmtId="9" fontId="0" fillId="0" borderId="24" xfId="3" applyFont="1" applyBorder="1"/>
    <xf numFmtId="1" fontId="0" fillId="0" borderId="24" xfId="0" applyNumberFormat="1" applyFont="1" applyBorder="1"/>
    <xf numFmtId="170" fontId="0" fillId="0" borderId="24" xfId="0" applyNumberFormat="1" applyFont="1" applyBorder="1"/>
    <xf numFmtId="170" fontId="0" fillId="0" borderId="24" xfId="2" applyNumberFormat="1" applyFont="1" applyBorder="1"/>
    <xf numFmtId="9" fontId="55" fillId="41" borderId="24" xfId="5" applyNumberFormat="1" applyFont="1" applyFill="1" applyBorder="1"/>
    <xf numFmtId="3" fontId="54" fillId="41" borderId="22" xfId="4" applyNumberFormat="1" applyFont="1" applyFill="1" applyBorder="1"/>
    <xf numFmtId="170" fontId="0" fillId="0" borderId="30" xfId="0" applyNumberFormat="1" applyFont="1" applyBorder="1"/>
    <xf numFmtId="0" fontId="56" fillId="42" borderId="0" xfId="0" applyFont="1" applyFill="1"/>
    <xf numFmtId="0" fontId="13" fillId="0" borderId="0" xfId="0" applyFont="1" applyFill="1"/>
    <xf numFmtId="0" fontId="5" fillId="0" borderId="0" xfId="11" applyFont="1" applyFill="1"/>
    <xf numFmtId="164" fontId="4" fillId="0" borderId="21" xfId="1" applyNumberFormat="1" applyFont="1" applyFill="1" applyBorder="1"/>
    <xf numFmtId="173" fontId="4" fillId="0" borderId="21" xfId="1" applyNumberFormat="1" applyFont="1" applyFill="1" applyBorder="1"/>
    <xf numFmtId="2" fontId="48" fillId="0" borderId="21" xfId="0" applyNumberFormat="1" applyFont="1" applyBorder="1"/>
    <xf numFmtId="2" fontId="0" fillId="0" borderId="21" xfId="0" applyNumberFormat="1" applyBorder="1"/>
    <xf numFmtId="167" fontId="4" fillId="0" borderId="21" xfId="1" applyNumberFormat="1" applyFont="1" applyFill="1" applyBorder="1"/>
    <xf numFmtId="0" fontId="5" fillId="0" borderId="21" xfId="11" applyFont="1" applyFill="1" applyBorder="1"/>
    <xf numFmtId="2" fontId="0" fillId="0" borderId="21" xfId="1" applyNumberFormat="1" applyFont="1" applyBorder="1"/>
    <xf numFmtId="177" fontId="0" fillId="0" borderId="21" xfId="1" applyNumberFormat="1" applyFont="1" applyBorder="1"/>
    <xf numFmtId="0" fontId="57" fillId="42" borderId="0" xfId="0" applyFont="1" applyFill="1"/>
    <xf numFmtId="0" fontId="3" fillId="0" borderId="21" xfId="0" applyFont="1" applyBorder="1"/>
    <xf numFmtId="164" fontId="46" fillId="0" borderId="21" xfId="1" applyNumberFormat="1" applyFont="1" applyFill="1" applyBorder="1"/>
    <xf numFmtId="167" fontId="46" fillId="0" borderId="21" xfId="1" applyNumberFormat="1" applyFont="1" applyFill="1" applyBorder="1"/>
    <xf numFmtId="2" fontId="50" fillId="0" borderId="21" xfId="0" applyNumberFormat="1" applyFont="1" applyBorder="1"/>
    <xf numFmtId="2" fontId="3" fillId="0" borderId="21" xfId="0" applyNumberFormat="1" applyFont="1" applyBorder="1"/>
    <xf numFmtId="2" fontId="3" fillId="0" borderId="21" xfId="0" applyNumberFormat="1" applyFont="1" applyFill="1" applyBorder="1"/>
    <xf numFmtId="164" fontId="51" fillId="0" borderId="21" xfId="1" applyNumberFormat="1" applyFont="1" applyFill="1" applyBorder="1"/>
    <xf numFmtId="167" fontId="51" fillId="0" borderId="21" xfId="1" applyNumberFormat="1" applyFont="1" applyFill="1" applyBorder="1"/>
    <xf numFmtId="168" fontId="3" fillId="0" borderId="21" xfId="0" applyNumberFormat="1" applyFont="1" applyBorder="1"/>
  </cellXfs>
  <cellStyles count="717">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1 2" xfId="91"/>
    <cellStyle name="60% - Accent2" xfId="28" builtinId="36" customBuiltin="1"/>
    <cellStyle name="60% - Accent2 2" xfId="92"/>
    <cellStyle name="60% - Accent3" xfId="32" builtinId="40" customBuiltin="1"/>
    <cellStyle name="60% - Accent3 2" xfId="93"/>
    <cellStyle name="60% - Accent4" xfId="36" builtinId="44" customBuiltin="1"/>
    <cellStyle name="60% - Accent4 2" xfId="94"/>
    <cellStyle name="60% - Accent5" xfId="40" builtinId="48" customBuiltin="1"/>
    <cellStyle name="60% - Accent5 2" xfId="95"/>
    <cellStyle name="60% - Accent6" xfId="44" builtinId="52" customBuiltin="1"/>
    <cellStyle name="60% - Accent6 2" xfId="96"/>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5" builtinId="27" customBuiltin="1"/>
    <cellStyle name="Calculation" xfId="14" builtinId="22" customBuiltin="1"/>
    <cellStyle name="CellLabel" xfId="59"/>
    <cellStyle name="CellLabel 2" xfId="65"/>
    <cellStyle name="CellNum" xfId="57"/>
    <cellStyle name="CellNumalt" xfId="58"/>
    <cellStyle name="Check Cell" xfId="16" builtinId="23" customBuiltin="1"/>
    <cellStyle name="Comma" xfId="1" builtinId="3"/>
    <cellStyle name="Comma 10" xfId="168"/>
    <cellStyle name="Comma 10 2" xfId="253"/>
    <cellStyle name="Comma 10 2 2" xfId="676"/>
    <cellStyle name="Comma 10 2 3" xfId="467"/>
    <cellStyle name="Comma 10 3" xfId="591"/>
    <cellStyle name="Comma 10 4" xfId="382"/>
    <cellStyle name="Comma 11" xfId="208"/>
    <cellStyle name="Comma 11 2" xfId="631"/>
    <cellStyle name="Comma 11 3" xfId="422"/>
    <cellStyle name="Comma 12" xfId="292"/>
    <cellStyle name="Comma 12 2" xfId="715"/>
    <cellStyle name="Comma 12 3" xfId="296"/>
    <cellStyle name="Comma 13" xfId="506"/>
    <cellStyle name="Comma 14" xfId="294"/>
    <cellStyle name="Comma 15" xfId="716"/>
    <cellStyle name="Comma 16" xfId="45"/>
    <cellStyle name="Comma 2" xfId="52"/>
    <cellStyle name="Comma 2 10" xfId="290"/>
    <cellStyle name="Comma 2 10 2" xfId="713"/>
    <cellStyle name="Comma 2 10 3" xfId="504"/>
    <cellStyle name="Comma 2 11" xfId="298"/>
    <cellStyle name="Comma 2 12" xfId="507"/>
    <cellStyle name="Comma 2 13" xfId="293"/>
    <cellStyle name="Comma 2 2" xfId="79"/>
    <cellStyle name="Comma 2 2 2" xfId="115"/>
    <cellStyle name="Comma 2 2 2 2" xfId="200"/>
    <cellStyle name="Comma 2 2 2 2 2" xfId="282"/>
    <cellStyle name="Comma 2 2 2 2 2 2" xfId="705"/>
    <cellStyle name="Comma 2 2 2 2 2 3" xfId="496"/>
    <cellStyle name="Comma 2 2 2 2 3" xfId="623"/>
    <cellStyle name="Comma 2 2 2 2 4" xfId="414"/>
    <cellStyle name="Comma 2 2 2 3" xfId="240"/>
    <cellStyle name="Comma 2 2 2 3 2" xfId="663"/>
    <cellStyle name="Comma 2 2 2 3 3" xfId="454"/>
    <cellStyle name="Comma 2 2 2 4" xfId="160"/>
    <cellStyle name="Comma 2 2 2 4 2" xfId="583"/>
    <cellStyle name="Comma 2 2 2 4 3" xfId="374"/>
    <cellStyle name="Comma 2 2 2 5" xfId="538"/>
    <cellStyle name="Comma 2 2 2 6" xfId="329"/>
    <cellStyle name="Comma 2 2 3" xfId="180"/>
    <cellStyle name="Comma 2 2 3 2" xfId="262"/>
    <cellStyle name="Comma 2 2 3 2 2" xfId="685"/>
    <cellStyle name="Comma 2 2 3 2 3" xfId="476"/>
    <cellStyle name="Comma 2 2 3 3" xfId="603"/>
    <cellStyle name="Comma 2 2 3 4" xfId="394"/>
    <cellStyle name="Comma 2 2 4" xfId="220"/>
    <cellStyle name="Comma 2 2 4 2" xfId="643"/>
    <cellStyle name="Comma 2 2 4 3" xfId="434"/>
    <cellStyle name="Comma 2 2 5" xfId="140"/>
    <cellStyle name="Comma 2 2 5 2" xfId="563"/>
    <cellStyle name="Comma 2 2 5 3" xfId="354"/>
    <cellStyle name="Comma 2 2 6" xfId="518"/>
    <cellStyle name="Comma 2 2 7" xfId="309"/>
    <cellStyle name="Comma 2 3" xfId="71"/>
    <cellStyle name="Comma 2 3 2" xfId="109"/>
    <cellStyle name="Comma 2 3 2 2" xfId="194"/>
    <cellStyle name="Comma 2 3 2 2 2" xfId="276"/>
    <cellStyle name="Comma 2 3 2 2 2 2" xfId="699"/>
    <cellStyle name="Comma 2 3 2 2 2 3" xfId="490"/>
    <cellStyle name="Comma 2 3 2 2 3" xfId="617"/>
    <cellStyle name="Comma 2 3 2 2 4" xfId="408"/>
    <cellStyle name="Comma 2 3 2 3" xfId="234"/>
    <cellStyle name="Comma 2 3 2 3 2" xfId="657"/>
    <cellStyle name="Comma 2 3 2 3 3" xfId="448"/>
    <cellStyle name="Comma 2 3 2 4" xfId="154"/>
    <cellStyle name="Comma 2 3 2 4 2" xfId="577"/>
    <cellStyle name="Comma 2 3 2 4 3" xfId="368"/>
    <cellStyle name="Comma 2 3 2 5" xfId="532"/>
    <cellStyle name="Comma 2 3 2 6" xfId="323"/>
    <cellStyle name="Comma 2 3 3" xfId="174"/>
    <cellStyle name="Comma 2 3 3 2" xfId="256"/>
    <cellStyle name="Comma 2 3 3 2 2" xfId="679"/>
    <cellStyle name="Comma 2 3 3 2 3" xfId="470"/>
    <cellStyle name="Comma 2 3 3 3" xfId="597"/>
    <cellStyle name="Comma 2 3 3 4" xfId="388"/>
    <cellStyle name="Comma 2 3 4" xfId="214"/>
    <cellStyle name="Comma 2 3 4 2" xfId="637"/>
    <cellStyle name="Comma 2 3 4 3" xfId="428"/>
    <cellStyle name="Comma 2 3 5" xfId="134"/>
    <cellStyle name="Comma 2 3 5 2" xfId="557"/>
    <cellStyle name="Comma 2 3 5 3" xfId="348"/>
    <cellStyle name="Comma 2 3 6" xfId="512"/>
    <cellStyle name="Comma 2 3 7" xfId="303"/>
    <cellStyle name="Comma 2 4" xfId="88"/>
    <cellStyle name="Comma 2 4 2" xfId="120"/>
    <cellStyle name="Comma 2 4 2 2" xfId="205"/>
    <cellStyle name="Comma 2 4 2 2 2" xfId="287"/>
    <cellStyle name="Comma 2 4 2 2 2 2" xfId="710"/>
    <cellStyle name="Comma 2 4 2 2 2 3" xfId="501"/>
    <cellStyle name="Comma 2 4 2 2 3" xfId="628"/>
    <cellStyle name="Comma 2 4 2 2 4" xfId="419"/>
    <cellStyle name="Comma 2 4 2 3" xfId="245"/>
    <cellStyle name="Comma 2 4 2 3 2" xfId="668"/>
    <cellStyle name="Comma 2 4 2 3 3" xfId="459"/>
    <cellStyle name="Comma 2 4 2 4" xfId="165"/>
    <cellStyle name="Comma 2 4 2 4 2" xfId="588"/>
    <cellStyle name="Comma 2 4 2 4 3" xfId="379"/>
    <cellStyle name="Comma 2 4 2 5" xfId="543"/>
    <cellStyle name="Comma 2 4 2 6" xfId="334"/>
    <cellStyle name="Comma 2 4 3" xfId="185"/>
    <cellStyle name="Comma 2 4 3 2" xfId="267"/>
    <cellStyle name="Comma 2 4 3 2 2" xfId="690"/>
    <cellStyle name="Comma 2 4 3 2 3" xfId="481"/>
    <cellStyle name="Comma 2 4 3 3" xfId="608"/>
    <cellStyle name="Comma 2 4 3 4" xfId="399"/>
    <cellStyle name="Comma 2 4 4" xfId="225"/>
    <cellStyle name="Comma 2 4 4 2" xfId="648"/>
    <cellStyle name="Comma 2 4 4 3" xfId="439"/>
    <cellStyle name="Comma 2 4 5" xfId="145"/>
    <cellStyle name="Comma 2 4 5 2" xfId="568"/>
    <cellStyle name="Comma 2 4 5 3" xfId="359"/>
    <cellStyle name="Comma 2 4 6" xfId="523"/>
    <cellStyle name="Comma 2 4 7" xfId="314"/>
    <cellStyle name="Comma 2 5" xfId="102"/>
    <cellStyle name="Comma 2 5 2" xfId="122"/>
    <cellStyle name="Comma 2 5 2 2" xfId="207"/>
    <cellStyle name="Comma 2 5 2 2 2" xfId="289"/>
    <cellStyle name="Comma 2 5 2 2 2 2" xfId="712"/>
    <cellStyle name="Comma 2 5 2 2 2 3" xfId="503"/>
    <cellStyle name="Comma 2 5 2 2 3" xfId="630"/>
    <cellStyle name="Comma 2 5 2 2 4" xfId="421"/>
    <cellStyle name="Comma 2 5 2 3" xfId="247"/>
    <cellStyle name="Comma 2 5 2 3 2" xfId="670"/>
    <cellStyle name="Comma 2 5 2 3 3" xfId="461"/>
    <cellStyle name="Comma 2 5 2 4" xfId="167"/>
    <cellStyle name="Comma 2 5 2 4 2" xfId="590"/>
    <cellStyle name="Comma 2 5 2 4 3" xfId="381"/>
    <cellStyle name="Comma 2 5 2 5" xfId="545"/>
    <cellStyle name="Comma 2 5 2 6" xfId="336"/>
    <cellStyle name="Comma 2 5 3" xfId="187"/>
    <cellStyle name="Comma 2 5 3 2" xfId="269"/>
    <cellStyle name="Comma 2 5 3 2 2" xfId="692"/>
    <cellStyle name="Comma 2 5 3 2 3" xfId="483"/>
    <cellStyle name="Comma 2 5 3 3" xfId="610"/>
    <cellStyle name="Comma 2 5 3 4" xfId="401"/>
    <cellStyle name="Comma 2 5 4" xfId="227"/>
    <cellStyle name="Comma 2 5 4 2" xfId="650"/>
    <cellStyle name="Comma 2 5 4 3" xfId="441"/>
    <cellStyle name="Comma 2 5 5" xfId="147"/>
    <cellStyle name="Comma 2 5 5 2" xfId="570"/>
    <cellStyle name="Comma 2 5 5 3" xfId="361"/>
    <cellStyle name="Comma 2 5 6" xfId="525"/>
    <cellStyle name="Comma 2 5 7" xfId="316"/>
    <cellStyle name="Comma 2 6" xfId="104"/>
    <cellStyle name="Comma 2 6 2" xfId="189"/>
    <cellStyle name="Comma 2 6 2 2" xfId="271"/>
    <cellStyle name="Comma 2 6 2 2 2" xfId="694"/>
    <cellStyle name="Comma 2 6 2 2 3" xfId="485"/>
    <cellStyle name="Comma 2 6 2 3" xfId="612"/>
    <cellStyle name="Comma 2 6 2 4" xfId="403"/>
    <cellStyle name="Comma 2 6 3" xfId="229"/>
    <cellStyle name="Comma 2 6 3 2" xfId="652"/>
    <cellStyle name="Comma 2 6 3 3" xfId="443"/>
    <cellStyle name="Comma 2 6 4" xfId="149"/>
    <cellStyle name="Comma 2 6 4 2" xfId="572"/>
    <cellStyle name="Comma 2 6 4 3" xfId="363"/>
    <cellStyle name="Comma 2 6 5" xfId="527"/>
    <cellStyle name="Comma 2 6 6" xfId="318"/>
    <cellStyle name="Comma 2 7" xfId="124"/>
    <cellStyle name="Comma 2 7 2" xfId="249"/>
    <cellStyle name="Comma 2 7 2 2" xfId="672"/>
    <cellStyle name="Comma 2 7 2 3" xfId="463"/>
    <cellStyle name="Comma 2 7 3" xfId="169"/>
    <cellStyle name="Comma 2 7 3 2" xfId="592"/>
    <cellStyle name="Comma 2 7 3 3" xfId="383"/>
    <cellStyle name="Comma 2 7 4" xfId="547"/>
    <cellStyle name="Comma 2 7 5" xfId="338"/>
    <cellStyle name="Comma 2 8" xfId="209"/>
    <cellStyle name="Comma 2 8 2" xfId="632"/>
    <cellStyle name="Comma 2 8 3" xfId="423"/>
    <cellStyle name="Comma 2 9" xfId="129"/>
    <cellStyle name="Comma 2 9 2" xfId="552"/>
    <cellStyle name="Comma 2 9 3" xfId="343"/>
    <cellStyle name="Comma 3" xfId="67"/>
    <cellStyle name="Comma 3 2" xfId="82"/>
    <cellStyle name="Comma 3 2 2" xfId="118"/>
    <cellStyle name="Comma 3 2 2 2" xfId="203"/>
    <cellStyle name="Comma 3 2 2 2 2" xfId="285"/>
    <cellStyle name="Comma 3 2 2 2 2 2" xfId="708"/>
    <cellStyle name="Comma 3 2 2 2 2 3" xfId="499"/>
    <cellStyle name="Comma 3 2 2 2 3" xfId="626"/>
    <cellStyle name="Comma 3 2 2 2 4" xfId="417"/>
    <cellStyle name="Comma 3 2 2 3" xfId="243"/>
    <cellStyle name="Comma 3 2 2 3 2" xfId="666"/>
    <cellStyle name="Comma 3 2 2 3 3" xfId="457"/>
    <cellStyle name="Comma 3 2 2 4" xfId="163"/>
    <cellStyle name="Comma 3 2 2 4 2" xfId="586"/>
    <cellStyle name="Comma 3 2 2 4 3" xfId="377"/>
    <cellStyle name="Comma 3 2 2 5" xfId="541"/>
    <cellStyle name="Comma 3 2 2 6" xfId="332"/>
    <cellStyle name="Comma 3 2 3" xfId="183"/>
    <cellStyle name="Comma 3 2 3 2" xfId="265"/>
    <cellStyle name="Comma 3 2 3 2 2" xfId="688"/>
    <cellStyle name="Comma 3 2 3 2 3" xfId="479"/>
    <cellStyle name="Comma 3 2 3 3" xfId="606"/>
    <cellStyle name="Comma 3 2 3 4" xfId="397"/>
    <cellStyle name="Comma 3 2 4" xfId="223"/>
    <cellStyle name="Comma 3 2 4 2" xfId="646"/>
    <cellStyle name="Comma 3 2 4 3" xfId="437"/>
    <cellStyle name="Comma 3 2 5" xfId="143"/>
    <cellStyle name="Comma 3 2 5 2" xfId="566"/>
    <cellStyle name="Comma 3 2 5 3" xfId="357"/>
    <cellStyle name="Comma 3 2 6" xfId="521"/>
    <cellStyle name="Comma 3 2 7" xfId="312"/>
    <cellStyle name="Comma 3 3" xfId="76"/>
    <cellStyle name="Comma 3 3 2" xfId="112"/>
    <cellStyle name="Comma 3 3 2 2" xfId="197"/>
    <cellStyle name="Comma 3 3 2 2 2" xfId="279"/>
    <cellStyle name="Comma 3 3 2 2 2 2" xfId="702"/>
    <cellStyle name="Comma 3 3 2 2 2 3" xfId="493"/>
    <cellStyle name="Comma 3 3 2 2 3" xfId="620"/>
    <cellStyle name="Comma 3 3 2 2 4" xfId="411"/>
    <cellStyle name="Comma 3 3 2 3" xfId="237"/>
    <cellStyle name="Comma 3 3 2 3 2" xfId="660"/>
    <cellStyle name="Comma 3 3 2 3 3" xfId="451"/>
    <cellStyle name="Comma 3 3 2 4" xfId="157"/>
    <cellStyle name="Comma 3 3 2 4 2" xfId="580"/>
    <cellStyle name="Comma 3 3 2 4 3" xfId="371"/>
    <cellStyle name="Comma 3 3 2 5" xfId="535"/>
    <cellStyle name="Comma 3 3 2 6" xfId="326"/>
    <cellStyle name="Comma 3 3 3" xfId="177"/>
    <cellStyle name="Comma 3 3 3 2" xfId="259"/>
    <cellStyle name="Comma 3 3 3 2 2" xfId="682"/>
    <cellStyle name="Comma 3 3 3 2 3" xfId="473"/>
    <cellStyle name="Comma 3 3 3 3" xfId="600"/>
    <cellStyle name="Comma 3 3 3 4" xfId="391"/>
    <cellStyle name="Comma 3 3 4" xfId="217"/>
    <cellStyle name="Comma 3 3 4 2" xfId="640"/>
    <cellStyle name="Comma 3 3 4 3" xfId="431"/>
    <cellStyle name="Comma 3 3 5" xfId="137"/>
    <cellStyle name="Comma 3 3 5 2" xfId="560"/>
    <cellStyle name="Comma 3 3 5 3" xfId="351"/>
    <cellStyle name="Comma 3 3 6" xfId="515"/>
    <cellStyle name="Comma 3 3 7" xfId="306"/>
    <cellStyle name="Comma 3 4" xfId="107"/>
    <cellStyle name="Comma 3 4 2" xfId="192"/>
    <cellStyle name="Comma 3 4 2 2" xfId="274"/>
    <cellStyle name="Comma 3 4 2 2 2" xfId="697"/>
    <cellStyle name="Comma 3 4 2 2 3" xfId="488"/>
    <cellStyle name="Comma 3 4 2 3" xfId="615"/>
    <cellStyle name="Comma 3 4 2 4" xfId="406"/>
    <cellStyle name="Comma 3 4 3" xfId="232"/>
    <cellStyle name="Comma 3 4 3 2" xfId="655"/>
    <cellStyle name="Comma 3 4 3 3" xfId="446"/>
    <cellStyle name="Comma 3 4 4" xfId="152"/>
    <cellStyle name="Comma 3 4 4 2" xfId="575"/>
    <cellStyle name="Comma 3 4 4 3" xfId="366"/>
    <cellStyle name="Comma 3 4 5" xfId="530"/>
    <cellStyle name="Comma 3 4 6" xfId="321"/>
    <cellStyle name="Comma 3 5" xfId="127"/>
    <cellStyle name="Comma 3 5 2" xfId="252"/>
    <cellStyle name="Comma 3 5 2 2" xfId="675"/>
    <cellStyle name="Comma 3 5 2 3" xfId="466"/>
    <cellStyle name="Comma 3 5 3" xfId="172"/>
    <cellStyle name="Comma 3 5 3 2" xfId="595"/>
    <cellStyle name="Comma 3 5 3 3" xfId="386"/>
    <cellStyle name="Comma 3 5 4" xfId="550"/>
    <cellStyle name="Comma 3 5 5" xfId="341"/>
    <cellStyle name="Comma 3 6" xfId="212"/>
    <cellStyle name="Comma 3 6 2" xfId="635"/>
    <cellStyle name="Comma 3 6 3" xfId="426"/>
    <cellStyle name="Comma 3 7" xfId="132"/>
    <cellStyle name="Comma 3 7 2" xfId="555"/>
    <cellStyle name="Comma 3 7 3" xfId="346"/>
    <cellStyle name="Comma 3 8" xfId="510"/>
    <cellStyle name="Comma 3 9" xfId="301"/>
    <cellStyle name="Comma 4" xfId="70"/>
    <cellStyle name="Comma 4 2" xfId="108"/>
    <cellStyle name="Comma 4 2 2" xfId="193"/>
    <cellStyle name="Comma 4 2 2 2" xfId="275"/>
    <cellStyle name="Comma 4 2 2 2 2" xfId="698"/>
    <cellStyle name="Comma 4 2 2 2 3" xfId="489"/>
    <cellStyle name="Comma 4 2 2 3" xfId="616"/>
    <cellStyle name="Comma 4 2 2 4" xfId="407"/>
    <cellStyle name="Comma 4 2 3" xfId="233"/>
    <cellStyle name="Comma 4 2 3 2" xfId="656"/>
    <cellStyle name="Comma 4 2 3 3" xfId="447"/>
    <cellStyle name="Comma 4 2 4" xfId="153"/>
    <cellStyle name="Comma 4 2 4 2" xfId="576"/>
    <cellStyle name="Comma 4 2 4 3" xfId="367"/>
    <cellStyle name="Comma 4 2 5" xfId="531"/>
    <cellStyle name="Comma 4 2 6" xfId="322"/>
    <cellStyle name="Comma 4 3" xfId="173"/>
    <cellStyle name="Comma 4 3 2" xfId="255"/>
    <cellStyle name="Comma 4 3 2 2" xfId="678"/>
    <cellStyle name="Comma 4 3 2 3" xfId="469"/>
    <cellStyle name="Comma 4 3 3" xfId="596"/>
    <cellStyle name="Comma 4 3 4" xfId="387"/>
    <cellStyle name="Comma 4 4" xfId="213"/>
    <cellStyle name="Comma 4 4 2" xfId="636"/>
    <cellStyle name="Comma 4 4 3" xfId="427"/>
    <cellStyle name="Comma 4 5" xfId="133"/>
    <cellStyle name="Comma 4 5 2" xfId="556"/>
    <cellStyle name="Comma 4 5 3" xfId="347"/>
    <cellStyle name="Comma 4 6" xfId="511"/>
    <cellStyle name="Comma 4 7" xfId="302"/>
    <cellStyle name="Comma 5" xfId="78"/>
    <cellStyle name="Comma 5 2" xfId="114"/>
    <cellStyle name="Comma 5 2 2" xfId="199"/>
    <cellStyle name="Comma 5 2 2 2" xfId="281"/>
    <cellStyle name="Comma 5 2 2 2 2" xfId="704"/>
    <cellStyle name="Comma 5 2 2 2 3" xfId="495"/>
    <cellStyle name="Comma 5 2 2 3" xfId="622"/>
    <cellStyle name="Comma 5 2 2 4" xfId="413"/>
    <cellStyle name="Comma 5 2 3" xfId="239"/>
    <cellStyle name="Comma 5 2 3 2" xfId="662"/>
    <cellStyle name="Comma 5 2 3 3" xfId="453"/>
    <cellStyle name="Comma 5 2 4" xfId="159"/>
    <cellStyle name="Comma 5 2 4 2" xfId="582"/>
    <cellStyle name="Comma 5 2 4 3" xfId="373"/>
    <cellStyle name="Comma 5 2 5" xfId="537"/>
    <cellStyle name="Comma 5 2 6" xfId="328"/>
    <cellStyle name="Comma 5 3" xfId="179"/>
    <cellStyle name="Comma 5 3 2" xfId="261"/>
    <cellStyle name="Comma 5 3 2 2" xfId="684"/>
    <cellStyle name="Comma 5 3 2 3" xfId="475"/>
    <cellStyle name="Comma 5 3 3" xfId="602"/>
    <cellStyle name="Comma 5 3 4" xfId="393"/>
    <cellStyle name="Comma 5 4" xfId="219"/>
    <cellStyle name="Comma 5 4 2" xfId="642"/>
    <cellStyle name="Comma 5 4 3" xfId="433"/>
    <cellStyle name="Comma 5 5" xfId="139"/>
    <cellStyle name="Comma 5 5 2" xfId="562"/>
    <cellStyle name="Comma 5 5 3" xfId="353"/>
    <cellStyle name="Comma 5 6" xfId="517"/>
    <cellStyle name="Comma 5 7" xfId="308"/>
    <cellStyle name="Comma 6" xfId="84"/>
    <cellStyle name="Comma 6 2" xfId="119"/>
    <cellStyle name="Comma 6 2 2" xfId="204"/>
    <cellStyle name="Comma 6 2 2 2" xfId="286"/>
    <cellStyle name="Comma 6 2 2 2 2" xfId="709"/>
    <cellStyle name="Comma 6 2 2 2 3" xfId="500"/>
    <cellStyle name="Comma 6 2 2 3" xfId="627"/>
    <cellStyle name="Comma 6 2 2 4" xfId="418"/>
    <cellStyle name="Comma 6 2 3" xfId="244"/>
    <cellStyle name="Comma 6 2 3 2" xfId="667"/>
    <cellStyle name="Comma 6 2 3 3" xfId="458"/>
    <cellStyle name="Comma 6 2 4" xfId="164"/>
    <cellStyle name="Comma 6 2 4 2" xfId="587"/>
    <cellStyle name="Comma 6 2 4 3" xfId="378"/>
    <cellStyle name="Comma 6 2 5" xfId="542"/>
    <cellStyle name="Comma 6 2 6" xfId="333"/>
    <cellStyle name="Comma 6 3" xfId="184"/>
    <cellStyle name="Comma 6 3 2" xfId="266"/>
    <cellStyle name="Comma 6 3 2 2" xfId="689"/>
    <cellStyle name="Comma 6 3 2 3" xfId="480"/>
    <cellStyle name="Comma 6 3 3" xfId="607"/>
    <cellStyle name="Comma 6 3 4" xfId="398"/>
    <cellStyle name="Comma 6 4" xfId="224"/>
    <cellStyle name="Comma 6 4 2" xfId="647"/>
    <cellStyle name="Comma 6 4 3" xfId="438"/>
    <cellStyle name="Comma 6 5" xfId="144"/>
    <cellStyle name="Comma 6 5 2" xfId="567"/>
    <cellStyle name="Comma 6 5 3" xfId="358"/>
    <cellStyle name="Comma 6 6" xfId="522"/>
    <cellStyle name="Comma 6 7" xfId="313"/>
    <cellStyle name="Comma 7" xfId="89"/>
    <cellStyle name="Comma 7 2" xfId="121"/>
    <cellStyle name="Comma 7 2 2" xfId="206"/>
    <cellStyle name="Comma 7 2 2 2" xfId="288"/>
    <cellStyle name="Comma 7 2 2 2 2" xfId="711"/>
    <cellStyle name="Comma 7 2 2 2 3" xfId="502"/>
    <cellStyle name="Comma 7 2 2 3" xfId="629"/>
    <cellStyle name="Comma 7 2 2 4" xfId="420"/>
    <cellStyle name="Comma 7 2 3" xfId="246"/>
    <cellStyle name="Comma 7 2 3 2" xfId="669"/>
    <cellStyle name="Comma 7 2 3 3" xfId="460"/>
    <cellStyle name="Comma 7 2 4" xfId="166"/>
    <cellStyle name="Comma 7 2 4 2" xfId="589"/>
    <cellStyle name="Comma 7 2 4 3" xfId="380"/>
    <cellStyle name="Comma 7 2 5" xfId="544"/>
    <cellStyle name="Comma 7 2 6" xfId="335"/>
    <cellStyle name="Comma 7 3" xfId="186"/>
    <cellStyle name="Comma 7 3 2" xfId="268"/>
    <cellStyle name="Comma 7 3 2 2" xfId="691"/>
    <cellStyle name="Comma 7 3 2 3" xfId="482"/>
    <cellStyle name="Comma 7 3 3" xfId="609"/>
    <cellStyle name="Comma 7 3 4" xfId="400"/>
    <cellStyle name="Comma 7 4" xfId="226"/>
    <cellStyle name="Comma 7 4 2" xfId="649"/>
    <cellStyle name="Comma 7 4 3" xfId="440"/>
    <cellStyle name="Comma 7 5" xfId="146"/>
    <cellStyle name="Comma 7 5 2" xfId="569"/>
    <cellStyle name="Comma 7 5 3" xfId="360"/>
    <cellStyle name="Comma 7 6" xfId="524"/>
    <cellStyle name="Comma 7 7" xfId="315"/>
    <cellStyle name="Comma 8" xfId="103"/>
    <cellStyle name="Comma 8 2" xfId="188"/>
    <cellStyle name="Comma 8 2 2" xfId="270"/>
    <cellStyle name="Comma 8 2 2 2" xfId="693"/>
    <cellStyle name="Comma 8 2 2 3" xfId="484"/>
    <cellStyle name="Comma 8 2 3" xfId="611"/>
    <cellStyle name="Comma 8 2 4" xfId="402"/>
    <cellStyle name="Comma 8 3" xfId="228"/>
    <cellStyle name="Comma 8 3 2" xfId="651"/>
    <cellStyle name="Comma 8 3 3" xfId="442"/>
    <cellStyle name="Comma 8 4" xfId="148"/>
    <cellStyle name="Comma 8 4 2" xfId="571"/>
    <cellStyle name="Comma 8 4 3" xfId="362"/>
    <cellStyle name="Comma 8 5" xfId="526"/>
    <cellStyle name="Comma 8 6" xfId="317"/>
    <cellStyle name="Comma 9" xfId="123"/>
    <cellStyle name="Comma 9 2" xfId="248"/>
    <cellStyle name="Comma 9 2 2" xfId="671"/>
    <cellStyle name="Comma 9 2 3" xfId="462"/>
    <cellStyle name="Comma 9 3" xfId="128"/>
    <cellStyle name="Comma 9 3 2" xfId="551"/>
    <cellStyle name="Comma 9 3 3" xfId="342"/>
    <cellStyle name="Comma 9 4" xfId="546"/>
    <cellStyle name="Comma 9 5" xfId="337"/>
    <cellStyle name="Currency" xfId="2" builtinId="4"/>
    <cellStyle name="Currency 10" xfId="299"/>
    <cellStyle name="Currency 11" xfId="508"/>
    <cellStyle name="Currency 12" xfId="295"/>
    <cellStyle name="Currency 13" xfId="53"/>
    <cellStyle name="Currency 2" xfId="62"/>
    <cellStyle name="Currency 2 10" xfId="300"/>
    <cellStyle name="Currency 2 2" xfId="81"/>
    <cellStyle name="Currency 2 2 2" xfId="117"/>
    <cellStyle name="Currency 2 2 2 2" xfId="202"/>
    <cellStyle name="Currency 2 2 2 2 2" xfId="284"/>
    <cellStyle name="Currency 2 2 2 2 2 2" xfId="707"/>
    <cellStyle name="Currency 2 2 2 2 2 3" xfId="498"/>
    <cellStyle name="Currency 2 2 2 2 3" xfId="625"/>
    <cellStyle name="Currency 2 2 2 2 4" xfId="416"/>
    <cellStyle name="Currency 2 2 2 3" xfId="242"/>
    <cellStyle name="Currency 2 2 2 3 2" xfId="665"/>
    <cellStyle name="Currency 2 2 2 3 3" xfId="456"/>
    <cellStyle name="Currency 2 2 2 4" xfId="162"/>
    <cellStyle name="Currency 2 2 2 4 2" xfId="585"/>
    <cellStyle name="Currency 2 2 2 4 3" xfId="376"/>
    <cellStyle name="Currency 2 2 2 5" xfId="540"/>
    <cellStyle name="Currency 2 2 2 6" xfId="331"/>
    <cellStyle name="Currency 2 2 3" xfId="182"/>
    <cellStyle name="Currency 2 2 3 2" xfId="264"/>
    <cellStyle name="Currency 2 2 3 2 2" xfId="687"/>
    <cellStyle name="Currency 2 2 3 2 3" xfId="478"/>
    <cellStyle name="Currency 2 2 3 3" xfId="605"/>
    <cellStyle name="Currency 2 2 3 4" xfId="396"/>
    <cellStyle name="Currency 2 2 4" xfId="222"/>
    <cellStyle name="Currency 2 2 4 2" xfId="645"/>
    <cellStyle name="Currency 2 2 4 3" xfId="436"/>
    <cellStyle name="Currency 2 2 5" xfId="142"/>
    <cellStyle name="Currency 2 2 5 2" xfId="565"/>
    <cellStyle name="Currency 2 2 5 3" xfId="356"/>
    <cellStyle name="Currency 2 2 6" xfId="520"/>
    <cellStyle name="Currency 2 2 7" xfId="311"/>
    <cellStyle name="Currency 2 3" xfId="74"/>
    <cellStyle name="Currency 2 3 2" xfId="111"/>
    <cellStyle name="Currency 2 3 2 2" xfId="196"/>
    <cellStyle name="Currency 2 3 2 2 2" xfId="278"/>
    <cellStyle name="Currency 2 3 2 2 2 2" xfId="701"/>
    <cellStyle name="Currency 2 3 2 2 2 3" xfId="492"/>
    <cellStyle name="Currency 2 3 2 2 3" xfId="619"/>
    <cellStyle name="Currency 2 3 2 2 4" xfId="410"/>
    <cellStyle name="Currency 2 3 2 3" xfId="236"/>
    <cellStyle name="Currency 2 3 2 3 2" xfId="659"/>
    <cellStyle name="Currency 2 3 2 3 3" xfId="450"/>
    <cellStyle name="Currency 2 3 2 4" xfId="156"/>
    <cellStyle name="Currency 2 3 2 4 2" xfId="579"/>
    <cellStyle name="Currency 2 3 2 4 3" xfId="370"/>
    <cellStyle name="Currency 2 3 2 5" xfId="534"/>
    <cellStyle name="Currency 2 3 2 6" xfId="325"/>
    <cellStyle name="Currency 2 3 3" xfId="176"/>
    <cellStyle name="Currency 2 3 3 2" xfId="258"/>
    <cellStyle name="Currency 2 3 3 2 2" xfId="681"/>
    <cellStyle name="Currency 2 3 3 2 3" xfId="472"/>
    <cellStyle name="Currency 2 3 3 3" xfId="599"/>
    <cellStyle name="Currency 2 3 3 4" xfId="390"/>
    <cellStyle name="Currency 2 3 4" xfId="216"/>
    <cellStyle name="Currency 2 3 4 2" xfId="639"/>
    <cellStyle name="Currency 2 3 4 3" xfId="430"/>
    <cellStyle name="Currency 2 3 5" xfId="136"/>
    <cellStyle name="Currency 2 3 5 2" xfId="559"/>
    <cellStyle name="Currency 2 3 5 3" xfId="350"/>
    <cellStyle name="Currency 2 3 6" xfId="514"/>
    <cellStyle name="Currency 2 3 7" xfId="305"/>
    <cellStyle name="Currency 2 4" xfId="106"/>
    <cellStyle name="Currency 2 4 2" xfId="191"/>
    <cellStyle name="Currency 2 4 2 2" xfId="273"/>
    <cellStyle name="Currency 2 4 2 2 2" xfId="696"/>
    <cellStyle name="Currency 2 4 2 2 3" xfId="487"/>
    <cellStyle name="Currency 2 4 2 3" xfId="614"/>
    <cellStyle name="Currency 2 4 2 4" xfId="405"/>
    <cellStyle name="Currency 2 4 3" xfId="231"/>
    <cellStyle name="Currency 2 4 3 2" xfId="654"/>
    <cellStyle name="Currency 2 4 3 3" xfId="445"/>
    <cellStyle name="Currency 2 4 4" xfId="151"/>
    <cellStyle name="Currency 2 4 4 2" xfId="574"/>
    <cellStyle name="Currency 2 4 4 3" xfId="365"/>
    <cellStyle name="Currency 2 4 5" xfId="529"/>
    <cellStyle name="Currency 2 4 6" xfId="320"/>
    <cellStyle name="Currency 2 5" xfId="126"/>
    <cellStyle name="Currency 2 5 2" xfId="251"/>
    <cellStyle name="Currency 2 5 2 2" xfId="674"/>
    <cellStyle name="Currency 2 5 2 3" xfId="465"/>
    <cellStyle name="Currency 2 5 3" xfId="171"/>
    <cellStyle name="Currency 2 5 3 2" xfId="594"/>
    <cellStyle name="Currency 2 5 3 3" xfId="385"/>
    <cellStyle name="Currency 2 5 4" xfId="549"/>
    <cellStyle name="Currency 2 5 5" xfId="340"/>
    <cellStyle name="Currency 2 6" xfId="211"/>
    <cellStyle name="Currency 2 6 2" xfId="634"/>
    <cellStyle name="Currency 2 6 3" xfId="425"/>
    <cellStyle name="Currency 2 7" xfId="131"/>
    <cellStyle name="Currency 2 7 2" xfId="554"/>
    <cellStyle name="Currency 2 7 3" xfId="345"/>
    <cellStyle name="Currency 2 8" xfId="291"/>
    <cellStyle name="Currency 2 8 2" xfId="714"/>
    <cellStyle name="Currency 2 8 3" xfId="505"/>
    <cellStyle name="Currency 2 9" xfId="509"/>
    <cellStyle name="Currency 3" xfId="72"/>
    <cellStyle name="Currency 3 2" xfId="110"/>
    <cellStyle name="Currency 3 2 2" xfId="195"/>
    <cellStyle name="Currency 3 2 2 2" xfId="277"/>
    <cellStyle name="Currency 3 2 2 2 2" xfId="700"/>
    <cellStyle name="Currency 3 2 2 2 3" xfId="491"/>
    <cellStyle name="Currency 3 2 2 3" xfId="618"/>
    <cellStyle name="Currency 3 2 2 4" xfId="409"/>
    <cellStyle name="Currency 3 2 3" xfId="235"/>
    <cellStyle name="Currency 3 2 3 2" xfId="658"/>
    <cellStyle name="Currency 3 2 3 3" xfId="449"/>
    <cellStyle name="Currency 3 2 4" xfId="155"/>
    <cellStyle name="Currency 3 2 4 2" xfId="578"/>
    <cellStyle name="Currency 3 2 4 3" xfId="369"/>
    <cellStyle name="Currency 3 2 5" xfId="533"/>
    <cellStyle name="Currency 3 2 6" xfId="324"/>
    <cellStyle name="Currency 3 3" xfId="175"/>
    <cellStyle name="Currency 3 3 2" xfId="257"/>
    <cellStyle name="Currency 3 3 2 2" xfId="680"/>
    <cellStyle name="Currency 3 3 2 3" xfId="471"/>
    <cellStyle name="Currency 3 3 3" xfId="598"/>
    <cellStyle name="Currency 3 3 4" xfId="389"/>
    <cellStyle name="Currency 3 4" xfId="215"/>
    <cellStyle name="Currency 3 4 2" xfId="638"/>
    <cellStyle name="Currency 3 4 3" xfId="429"/>
    <cellStyle name="Currency 3 5" xfId="135"/>
    <cellStyle name="Currency 3 5 2" xfId="558"/>
    <cellStyle name="Currency 3 5 3" xfId="349"/>
    <cellStyle name="Currency 3 6" xfId="513"/>
    <cellStyle name="Currency 3 7" xfId="304"/>
    <cellStyle name="Currency 4" xfId="80"/>
    <cellStyle name="Currency 4 2" xfId="116"/>
    <cellStyle name="Currency 4 2 2" xfId="201"/>
    <cellStyle name="Currency 4 2 2 2" xfId="283"/>
    <cellStyle name="Currency 4 2 2 2 2" xfId="706"/>
    <cellStyle name="Currency 4 2 2 2 3" xfId="497"/>
    <cellStyle name="Currency 4 2 2 3" xfId="624"/>
    <cellStyle name="Currency 4 2 2 4" xfId="415"/>
    <cellStyle name="Currency 4 2 3" xfId="241"/>
    <cellStyle name="Currency 4 2 3 2" xfId="664"/>
    <cellStyle name="Currency 4 2 3 3" xfId="455"/>
    <cellStyle name="Currency 4 2 4" xfId="161"/>
    <cellStyle name="Currency 4 2 4 2" xfId="584"/>
    <cellStyle name="Currency 4 2 4 3" xfId="375"/>
    <cellStyle name="Currency 4 2 5" xfId="539"/>
    <cellStyle name="Currency 4 2 6" xfId="330"/>
    <cellStyle name="Currency 4 3" xfId="181"/>
    <cellStyle name="Currency 4 3 2" xfId="263"/>
    <cellStyle name="Currency 4 3 2 2" xfId="686"/>
    <cellStyle name="Currency 4 3 2 3" xfId="477"/>
    <cellStyle name="Currency 4 3 3" xfId="604"/>
    <cellStyle name="Currency 4 3 4" xfId="395"/>
    <cellStyle name="Currency 4 4" xfId="221"/>
    <cellStyle name="Currency 4 4 2" xfId="644"/>
    <cellStyle name="Currency 4 4 3" xfId="435"/>
    <cellStyle name="Currency 4 5" xfId="141"/>
    <cellStyle name="Currency 4 5 2" xfId="564"/>
    <cellStyle name="Currency 4 5 3" xfId="355"/>
    <cellStyle name="Currency 4 6" xfId="519"/>
    <cellStyle name="Currency 4 7" xfId="310"/>
    <cellStyle name="Currency 5" xfId="77"/>
    <cellStyle name="Currency 5 2" xfId="113"/>
    <cellStyle name="Currency 5 2 2" xfId="198"/>
    <cellStyle name="Currency 5 2 2 2" xfId="280"/>
    <cellStyle name="Currency 5 2 2 2 2" xfId="703"/>
    <cellStyle name="Currency 5 2 2 2 3" xfId="494"/>
    <cellStyle name="Currency 5 2 2 3" xfId="621"/>
    <cellStyle name="Currency 5 2 2 4" xfId="412"/>
    <cellStyle name="Currency 5 2 3" xfId="238"/>
    <cellStyle name="Currency 5 2 3 2" xfId="661"/>
    <cellStyle name="Currency 5 2 3 3" xfId="452"/>
    <cellStyle name="Currency 5 2 4" xfId="158"/>
    <cellStyle name="Currency 5 2 4 2" xfId="581"/>
    <cellStyle name="Currency 5 2 4 3" xfId="372"/>
    <cellStyle name="Currency 5 2 5" xfId="536"/>
    <cellStyle name="Currency 5 2 6" xfId="327"/>
    <cellStyle name="Currency 5 3" xfId="178"/>
    <cellStyle name="Currency 5 3 2" xfId="260"/>
    <cellStyle name="Currency 5 3 2 2" xfId="683"/>
    <cellStyle name="Currency 5 3 2 3" xfId="474"/>
    <cellStyle name="Currency 5 3 3" xfId="601"/>
    <cellStyle name="Currency 5 3 4" xfId="392"/>
    <cellStyle name="Currency 5 4" xfId="218"/>
    <cellStyle name="Currency 5 4 2" xfId="641"/>
    <cellStyle name="Currency 5 4 3" xfId="432"/>
    <cellStyle name="Currency 5 5" xfId="138"/>
    <cellStyle name="Currency 5 5 2" xfId="561"/>
    <cellStyle name="Currency 5 5 3" xfId="352"/>
    <cellStyle name="Currency 5 6" xfId="516"/>
    <cellStyle name="Currency 5 7" xfId="307"/>
    <cellStyle name="Currency 6" xfId="105"/>
    <cellStyle name="Currency 6 2" xfId="190"/>
    <cellStyle name="Currency 6 2 2" xfId="272"/>
    <cellStyle name="Currency 6 2 2 2" xfId="695"/>
    <cellStyle name="Currency 6 2 2 3" xfId="486"/>
    <cellStyle name="Currency 6 2 3" xfId="613"/>
    <cellStyle name="Currency 6 2 4" xfId="404"/>
    <cellStyle name="Currency 6 3" xfId="230"/>
    <cellStyle name="Currency 6 3 2" xfId="653"/>
    <cellStyle name="Currency 6 3 3" xfId="444"/>
    <cellStyle name="Currency 6 4" xfId="150"/>
    <cellStyle name="Currency 6 4 2" xfId="573"/>
    <cellStyle name="Currency 6 4 3" xfId="364"/>
    <cellStyle name="Currency 6 5" xfId="528"/>
    <cellStyle name="Currency 6 6" xfId="319"/>
    <cellStyle name="Currency 7" xfId="125"/>
    <cellStyle name="Currency 7 2" xfId="250"/>
    <cellStyle name="Currency 7 2 2" xfId="673"/>
    <cellStyle name="Currency 7 2 3" xfId="464"/>
    <cellStyle name="Currency 7 3" xfId="130"/>
    <cellStyle name="Currency 7 3 2" xfId="553"/>
    <cellStyle name="Currency 7 3 3" xfId="344"/>
    <cellStyle name="Currency 7 4" xfId="548"/>
    <cellStyle name="Currency 7 5" xfId="339"/>
    <cellStyle name="Currency 8" xfId="170"/>
    <cellStyle name="Currency 8 2" xfId="254"/>
    <cellStyle name="Currency 8 2 2" xfId="677"/>
    <cellStyle name="Currency 8 2 3" xfId="468"/>
    <cellStyle name="Currency 8 3" xfId="593"/>
    <cellStyle name="Currency 8 4" xfId="384"/>
    <cellStyle name="Currency 9" xfId="210"/>
    <cellStyle name="Currency 9 2" xfId="633"/>
    <cellStyle name="Currency 9 3" xfId="424"/>
    <cellStyle name="Explanatory Text" xfId="19" builtinId="53" customBuiltin="1"/>
    <cellStyle name="Footnote" xfId="54"/>
    <cellStyle name="Good" xfId="4" builtinId="26" customBuiltin="1"/>
    <cellStyle name="Good 2" xfId="66"/>
    <cellStyle name="Heading 1" xfId="7" builtinId="16" customBuiltin="1"/>
    <cellStyle name="Heading 2" xfId="8" builtinId="17" customBuiltin="1"/>
    <cellStyle name="Heading 3" xfId="9" builtinId="18" customBuiltin="1"/>
    <cellStyle name="Heading 4" xfId="10" builtinId="19" customBuiltin="1"/>
    <cellStyle name="Hyperlink" xfId="47" builtinId="8" customBuiltin="1"/>
    <cellStyle name="Hyperlink 2" xfId="68"/>
    <cellStyle name="Hyperlink 3" xfId="85"/>
    <cellStyle name="Input" xfId="12" builtinId="20" customBuiltin="1"/>
    <cellStyle name="Linked Cell" xfId="15" builtinId="24" customBuiltin="1"/>
    <cellStyle name="Neutral" xfId="11" builtinId="28" customBuiltin="1"/>
    <cellStyle name="Neutral 2" xfId="90"/>
    <cellStyle name="Normal" xfId="0" builtinId="0"/>
    <cellStyle name="Normal 11" xfId="48"/>
    <cellStyle name="Normal 12 2 2" xfId="69"/>
    <cellStyle name="Normal 2" xfId="49"/>
    <cellStyle name="Normal 2 2" xfId="51"/>
    <cellStyle name="Normal 2 2 2" xfId="87"/>
    <cellStyle name="Normal 2 3" xfId="86"/>
    <cellStyle name="Normal 2 4" xfId="297"/>
    <cellStyle name="Normal 3" xfId="61"/>
    <cellStyle name="Normal 3 2" xfId="73"/>
    <cellStyle name="Normal 3 3" xfId="100"/>
    <cellStyle name="Normal 4" xfId="64"/>
    <cellStyle name="Normal 4 2" xfId="101"/>
    <cellStyle name="Normal 5" xfId="50"/>
    <cellStyle name="Normal 5 2" xfId="97"/>
    <cellStyle name="Normal 6" xfId="83"/>
    <cellStyle name="Note" xfId="18" builtinId="10" customBuiltin="1"/>
    <cellStyle name="Note 2" xfId="98"/>
    <cellStyle name="Output" xfId="13" builtinId="21" customBuiltin="1"/>
    <cellStyle name="Percent" xfId="3" builtinId="5"/>
    <cellStyle name="Percent 2" xfId="63"/>
    <cellStyle name="Percent 2 2" xfId="75"/>
    <cellStyle name="Percent 2 3" xfId="99"/>
    <cellStyle name="Report Heading" xfId="46"/>
    <cellStyle name="Subtitle" xfId="60"/>
    <cellStyle name="TableHeader" xfId="56"/>
    <cellStyle name="TableTitle" xfId="55"/>
    <cellStyle name="Title" xfId="6" builtinId="15" customBuiltin="1"/>
    <cellStyle name="Total" xfId="20" builtinId="25" customBuiltin="1"/>
    <cellStyle name="Warning Text" xfId="17" builtinId="11" customBuiltin="1"/>
  </cellStyles>
  <dxfs count="0"/>
  <tableStyles count="0" defaultTableStyle="TableStyleMedium2" defaultPivotStyle="PivotStyleLight16"/>
  <colors>
    <mruColors>
      <color rgb="FFFFFFCD"/>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6.xml"/><Relationship Id="rId13" Type="http://schemas.openxmlformats.org/officeDocument/2006/relationships/worksheet" Target="work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chartsheet" Target="chartsheets/sheet5.xml"/><Relationship Id="rId12" Type="http://schemas.openxmlformats.org/officeDocument/2006/relationships/worksheet" Target="work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worksheet" Target="worksheets/sheet5.xml"/><Relationship Id="rId5" Type="http://schemas.openxmlformats.org/officeDocument/2006/relationships/chartsheet" Target="chartsheets/sheet3.xml"/><Relationship Id="rId15" Type="http://schemas.openxmlformats.org/officeDocument/2006/relationships/worksheet" Target="worksheets/sheet9.xml"/><Relationship Id="rId10" Type="http://schemas.openxmlformats.org/officeDocument/2006/relationships/worksheet" Target="worksheets/sheet4.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3.xml"/><Relationship Id="rId14"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7645595703133394"/>
          <c:h val="0.82367882955445981"/>
        </c:manualLayout>
      </c:layout>
      <c:barChart>
        <c:barDir val="col"/>
        <c:grouping val="clustered"/>
        <c:varyColors val="0"/>
        <c:ser>
          <c:idx val="0"/>
          <c:order val="0"/>
          <c:tx>
            <c:v>Option 1</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Calcs'!$F$41:$Y$41</c:f>
              <c:numCache>
                <c:formatCode>0.00</c:formatCode>
                <c:ptCount val="20"/>
                <c:pt idx="0">
                  <c:v>0</c:v>
                </c:pt>
                <c:pt idx="1">
                  <c:v>0.24955499999999997</c:v>
                </c:pt>
                <c:pt idx="2">
                  <c:v>0.24955499999999997</c:v>
                </c:pt>
                <c:pt idx="3">
                  <c:v>7.5647924855544089</c:v>
                </c:pt>
                <c:pt idx="4">
                  <c:v>8.1705112514328029</c:v>
                </c:pt>
                <c:pt idx="5">
                  <c:v>8.9054826619056691</c:v>
                </c:pt>
                <c:pt idx="6">
                  <c:v>5.7671574543444128</c:v>
                </c:pt>
                <c:pt idx="7">
                  <c:v>6.5350547880546621</c:v>
                </c:pt>
                <c:pt idx="8">
                  <c:v>7.5337649305286449</c:v>
                </c:pt>
                <c:pt idx="9">
                  <c:v>8.2695690317028578</c:v>
                </c:pt>
                <c:pt idx="10">
                  <c:v>9.4968741170439639</c:v>
                </c:pt>
                <c:pt idx="11">
                  <c:v>10.495857904453024</c:v>
                </c:pt>
                <c:pt idx="12">
                  <c:v>11.166112731419165</c:v>
                </c:pt>
                <c:pt idx="13">
                  <c:v>12.662310537804995</c:v>
                </c:pt>
                <c:pt idx="14">
                  <c:v>13.862852051464031</c:v>
                </c:pt>
                <c:pt idx="15">
                  <c:v>17.241015613599121</c:v>
                </c:pt>
                <c:pt idx="16">
                  <c:v>16.363289583490612</c:v>
                </c:pt>
                <c:pt idx="17">
                  <c:v>17.275246528164246</c:v>
                </c:pt>
                <c:pt idx="18">
                  <c:v>17.548149195053558</c:v>
                </c:pt>
                <c:pt idx="19">
                  <c:v>17.91406391525118</c:v>
                </c:pt>
              </c:numCache>
            </c:numRef>
          </c:val>
          <c:extLst xmlns:c16r2="http://schemas.microsoft.com/office/drawing/2015/06/chart">
            <c:ext xmlns:c16="http://schemas.microsoft.com/office/drawing/2014/chart" uri="{C3380CC4-5D6E-409C-BE32-E72D297353CC}">
              <c16:uniqueId val="{00000000-1780-4323-A3D3-49F1EBE3E5F8}"/>
            </c:ext>
          </c:extLst>
        </c:ser>
        <c:ser>
          <c:idx val="1"/>
          <c:order val="1"/>
          <c:tx>
            <c:v>Option 2</c:v>
          </c:tx>
          <c:spPr>
            <a:solidFill>
              <a:schemeClr val="accent5">
                <a:lumMod val="60000"/>
                <a:lumOff val="40000"/>
              </a:schemeClr>
            </a:solidFill>
            <a:ln>
              <a:noFill/>
            </a:ln>
            <a:effectLst/>
          </c:spPr>
          <c:invertIfNegative val="0"/>
          <c:val>
            <c:numRef>
              <c:f>'Benefit Calcs'!$F$97:$Y$97</c:f>
              <c:numCache>
                <c:formatCode>0.00</c:formatCode>
                <c:ptCount val="20"/>
                <c:pt idx="0">
                  <c:v>0</c:v>
                </c:pt>
                <c:pt idx="1">
                  <c:v>0.2845458555</c:v>
                </c:pt>
                <c:pt idx="2">
                  <c:v>0.42110825377499994</c:v>
                </c:pt>
                <c:pt idx="3">
                  <c:v>10.58618285250064</c:v>
                </c:pt>
                <c:pt idx="4">
                  <c:v>11.474319430028531</c:v>
                </c:pt>
                <c:pt idx="5">
                  <c:v>12.573035375886583</c:v>
                </c:pt>
                <c:pt idx="6">
                  <c:v>7.4745473968705332</c:v>
                </c:pt>
                <c:pt idx="7">
                  <c:v>8.5073804032523661</c:v>
                </c:pt>
                <c:pt idx="8">
                  <c:v>9.9198998946284931</c:v>
                </c:pt>
                <c:pt idx="9">
                  <c:v>10.85427834721111</c:v>
                </c:pt>
                <c:pt idx="10">
                  <c:v>12.615901371130478</c:v>
                </c:pt>
                <c:pt idx="11">
                  <c:v>13.954598215569664</c:v>
                </c:pt>
                <c:pt idx="12">
                  <c:v>14.693602013770104</c:v>
                </c:pt>
                <c:pt idx="13">
                  <c:v>16.831344268110762</c:v>
                </c:pt>
                <c:pt idx="14">
                  <c:v>18.420419471435643</c:v>
                </c:pt>
                <c:pt idx="15">
                  <c:v>23.74421304040213</c:v>
                </c:pt>
                <c:pt idx="16">
                  <c:v>21.647311116515588</c:v>
                </c:pt>
                <c:pt idx="17">
                  <c:v>22.604312824180468</c:v>
                </c:pt>
                <c:pt idx="18">
                  <c:v>22.400573985368442</c:v>
                </c:pt>
                <c:pt idx="19">
                  <c:v>22.299693050008241</c:v>
                </c:pt>
              </c:numCache>
            </c:numRef>
          </c:val>
          <c:extLst xmlns:c16r2="http://schemas.microsoft.com/office/drawing/2015/06/chart">
            <c:ext xmlns:c16="http://schemas.microsoft.com/office/drawing/2014/chart" uri="{C3380CC4-5D6E-409C-BE32-E72D297353CC}">
              <c16:uniqueId val="{00000005-1780-4323-A3D3-49F1EBE3E5F8}"/>
            </c:ext>
          </c:extLst>
        </c:ser>
        <c:dLbls>
          <c:showLegendKey val="0"/>
          <c:showVal val="0"/>
          <c:showCatName val="0"/>
          <c:showSerName val="0"/>
          <c:showPercent val="0"/>
          <c:showBubbleSize val="0"/>
        </c:dLbls>
        <c:gapWidth val="50"/>
        <c:overlap val="-25"/>
        <c:axId val="85396864"/>
        <c:axId val="85411712"/>
      </c:barChart>
      <c:catAx>
        <c:axId val="853968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163555155406609"/>
              <c:y val="0.93497725641985574"/>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85411712"/>
        <c:crosses val="autoZero"/>
        <c:auto val="1"/>
        <c:lblAlgn val="ctr"/>
        <c:lblOffset val="100"/>
        <c:noMultiLvlLbl val="0"/>
      </c:catAx>
      <c:valAx>
        <c:axId val="854117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manualLayout>
              <c:xMode val="edge"/>
              <c:yMode val="edge"/>
              <c:x val="1.0467362421832785E-2"/>
              <c:y val="0.38956405097691066"/>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5396864"/>
        <c:crosses val="autoZero"/>
        <c:crossBetween val="between"/>
        <c:majorUnit val="2"/>
      </c:valAx>
      <c:spPr>
        <a:noFill/>
        <a:ln>
          <a:noFill/>
        </a:ln>
        <a:effectLst/>
      </c:spPr>
    </c:plotArea>
    <c:legend>
      <c:legendPos val="b"/>
      <c:layout>
        <c:manualLayout>
          <c:xMode val="edge"/>
          <c:yMode val="edge"/>
          <c:x val="5.9802592071724406E-2"/>
          <c:y val="0.93842108705734328"/>
          <c:w val="0.18211962773547671"/>
          <c:h val="4.279438219272501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3144993904696785"/>
          <c:h val="0.90716563288748975"/>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Calcs'!$F$41:$Y$41</c:f>
              <c:numCache>
                <c:formatCode>0.00</c:formatCode>
                <c:ptCount val="20"/>
                <c:pt idx="0">
                  <c:v>0</c:v>
                </c:pt>
                <c:pt idx="1">
                  <c:v>0.24955499999999997</c:v>
                </c:pt>
                <c:pt idx="2">
                  <c:v>0.24955499999999997</c:v>
                </c:pt>
                <c:pt idx="3">
                  <c:v>7.5647924855544089</c:v>
                </c:pt>
                <c:pt idx="4">
                  <c:v>8.1705112514328029</c:v>
                </c:pt>
                <c:pt idx="5">
                  <c:v>8.9054826619056691</c:v>
                </c:pt>
                <c:pt idx="6">
                  <c:v>5.7671574543444128</c:v>
                </c:pt>
                <c:pt idx="7">
                  <c:v>6.5350547880546621</c:v>
                </c:pt>
                <c:pt idx="8">
                  <c:v>7.5337649305286449</c:v>
                </c:pt>
                <c:pt idx="9">
                  <c:v>8.2695690317028578</c:v>
                </c:pt>
                <c:pt idx="10">
                  <c:v>9.4968741170439639</c:v>
                </c:pt>
                <c:pt idx="11">
                  <c:v>10.495857904453024</c:v>
                </c:pt>
                <c:pt idx="12">
                  <c:v>11.166112731419165</c:v>
                </c:pt>
                <c:pt idx="13">
                  <c:v>12.662310537804995</c:v>
                </c:pt>
                <c:pt idx="14">
                  <c:v>13.862852051464031</c:v>
                </c:pt>
                <c:pt idx="15">
                  <c:v>17.241015613599121</c:v>
                </c:pt>
                <c:pt idx="16">
                  <c:v>16.363289583490612</c:v>
                </c:pt>
                <c:pt idx="17">
                  <c:v>17.275246528164246</c:v>
                </c:pt>
                <c:pt idx="18">
                  <c:v>17.548149195053558</c:v>
                </c:pt>
                <c:pt idx="19">
                  <c:v>17.91406391525118</c:v>
                </c:pt>
              </c:numCache>
            </c:numRef>
          </c:val>
          <c:extLst xmlns:c16r2="http://schemas.microsoft.com/office/drawing/2015/06/chart">
            <c:ext xmlns:c16="http://schemas.microsoft.com/office/drawing/2014/chart" uri="{C3380CC4-5D6E-409C-BE32-E72D297353CC}">
              <c16:uniqueId val="{00000000-2B82-40DA-86C4-9D278D077030}"/>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Calcs'!$G$64:$Z$64</c:f>
              <c:numCache>
                <c:formatCode>0.00</c:formatCode>
                <c:ptCount val="20"/>
                <c:pt idx="0">
                  <c:v>-6.7182313333333337</c:v>
                </c:pt>
                <c:pt idx="1">
                  <c:v>-7.6320823333333339</c:v>
                </c:pt>
                <c:pt idx="2">
                  <c:v>-5.6008593333333332</c:v>
                </c:pt>
                <c:pt idx="3">
                  <c:v>-3.4289802937134448</c:v>
                </c:pt>
                <c:pt idx="4">
                  <c:v>-4.0555981094461453</c:v>
                </c:pt>
                <c:pt idx="5">
                  <c:v>-2.6274928917301708</c:v>
                </c:pt>
                <c:pt idx="6">
                  <c:v>-2.7112308878172957</c:v>
                </c:pt>
                <c:pt idx="7">
                  <c:v>-6.1668046410620034</c:v>
                </c:pt>
                <c:pt idx="8">
                  <c:v>-6.5875831448576294</c:v>
                </c:pt>
                <c:pt idx="9">
                  <c:v>-5.161120996184474</c:v>
                </c:pt>
                <c:pt idx="10">
                  <c:v>-3.7627551953732432</c:v>
                </c:pt>
                <c:pt idx="11">
                  <c:v>-4.1826712136656399</c:v>
                </c:pt>
                <c:pt idx="12">
                  <c:v>-3.5443712516710471</c:v>
                </c:pt>
                <c:pt idx="13">
                  <c:v>-3.7527241826164781</c:v>
                </c:pt>
                <c:pt idx="14">
                  <c:v>-7.3428198623990042</c:v>
                </c:pt>
                <c:pt idx="15">
                  <c:v>-7.9571483086292289</c:v>
                </c:pt>
                <c:pt idx="16">
                  <c:v>-6.6851164280135169</c:v>
                </c:pt>
                <c:pt idx="17">
                  <c:v>-5.4336787558236788</c:v>
                </c:pt>
                <c:pt idx="18">
                  <c:v>-5.9802182208394674</c:v>
                </c:pt>
                <c:pt idx="19">
                  <c:v>-5.4551025584267503</c:v>
                </c:pt>
              </c:numCache>
            </c:numRef>
          </c:val>
          <c:extLst xmlns:c16r2="http://schemas.microsoft.com/office/drawing/2015/06/chart">
            <c:ext xmlns:c16="http://schemas.microsoft.com/office/drawing/2014/chart" uri="{C3380CC4-5D6E-409C-BE32-E72D297353CC}">
              <c16:uniqueId val="{00000001-2B82-40DA-86C4-9D278D077030}"/>
            </c:ext>
          </c:extLst>
        </c:ser>
        <c:dLbls>
          <c:showLegendKey val="0"/>
          <c:showVal val="0"/>
          <c:showCatName val="0"/>
          <c:showSerName val="0"/>
          <c:showPercent val="0"/>
          <c:showBubbleSize val="0"/>
        </c:dLbls>
        <c:gapWidth val="50"/>
        <c:overlap val="100"/>
        <c:axId val="90605056"/>
        <c:axId val="90606976"/>
      </c:barChart>
      <c:lineChart>
        <c:grouping val="standard"/>
        <c:varyColors val="0"/>
        <c:ser>
          <c:idx val="2"/>
          <c:order val="2"/>
          <c:tx>
            <c:v>Result (right axis)</c:v>
          </c:tx>
          <c:spPr>
            <a:ln w="28575" cap="rnd">
              <a:solidFill>
                <a:schemeClr val="tx1"/>
              </a:solidFill>
              <a:round/>
            </a:ln>
            <a:effectLst/>
          </c:spPr>
          <c:marker>
            <c:symbol val="none"/>
          </c:marker>
          <c:val>
            <c:numRef>
              <c:f>'Benefit Calcs'!$F$43:$Y$43</c:f>
              <c:numCache>
                <c:formatCode>0.00</c:formatCode>
                <c:ptCount val="20"/>
                <c:pt idx="0">
                  <c:v>-6.7182313333333337</c:v>
                </c:pt>
                <c:pt idx="1">
                  <c:v>-14.100758666666668</c:v>
                </c:pt>
                <c:pt idx="2">
                  <c:v>-19.452063000000003</c:v>
                </c:pt>
                <c:pt idx="3">
                  <c:v>-15.316250808159038</c:v>
                </c:pt>
                <c:pt idx="4">
                  <c:v>-11.201337666172382</c:v>
                </c:pt>
                <c:pt idx="5">
                  <c:v>-4.9233478959968835</c:v>
                </c:pt>
                <c:pt idx="6">
                  <c:v>-1.8674213294697664</c:v>
                </c:pt>
                <c:pt idx="7">
                  <c:v>-1.4991711824771077</c:v>
                </c:pt>
                <c:pt idx="8">
                  <c:v>-0.55298939680609216</c:v>
                </c:pt>
                <c:pt idx="9">
                  <c:v>2.5554586387122917</c:v>
                </c:pt>
                <c:pt idx="10">
                  <c:v>8.2895775603830124</c:v>
                </c:pt>
                <c:pt idx="11">
                  <c:v>14.602764251170395</c:v>
                </c:pt>
                <c:pt idx="12">
                  <c:v>22.224505730918516</c:v>
                </c:pt>
                <c:pt idx="13">
                  <c:v>31.134092086107032</c:v>
                </c:pt>
                <c:pt idx="14">
                  <c:v>37.654124275172059</c:v>
                </c:pt>
                <c:pt idx="15">
                  <c:v>46.937991580141954</c:v>
                </c:pt>
                <c:pt idx="16">
                  <c:v>56.616164735619051</c:v>
                </c:pt>
                <c:pt idx="17">
                  <c:v>68.457732507959619</c:v>
                </c:pt>
                <c:pt idx="18">
                  <c:v>80.025663482173712</c:v>
                </c:pt>
                <c:pt idx="19">
                  <c:v>92.484624838998144</c:v>
                </c:pt>
              </c:numCache>
            </c:numRef>
          </c:val>
          <c:smooth val="0"/>
          <c:extLst xmlns:c16r2="http://schemas.microsoft.com/office/drawing/2015/06/chart">
            <c:ext xmlns:c16="http://schemas.microsoft.com/office/drawing/2014/chart" uri="{C3380CC4-5D6E-409C-BE32-E72D297353CC}">
              <c16:uniqueId val="{00000002-2B82-40DA-86C4-9D278D077030}"/>
            </c:ext>
          </c:extLst>
        </c:ser>
        <c:dLbls>
          <c:showLegendKey val="0"/>
          <c:showVal val="0"/>
          <c:showCatName val="0"/>
          <c:showSerName val="0"/>
          <c:showPercent val="0"/>
          <c:showBubbleSize val="0"/>
        </c:dLbls>
        <c:marker val="1"/>
        <c:smooth val="0"/>
        <c:axId val="91398144"/>
        <c:axId val="91346816"/>
      </c:lineChart>
      <c:catAx>
        <c:axId val="906050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163555155406609"/>
              <c:y val="0.87236215392008321"/>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90606976"/>
        <c:crosses val="autoZero"/>
        <c:auto val="1"/>
        <c:lblAlgn val="ctr"/>
        <c:lblOffset val="100"/>
        <c:noMultiLvlLbl val="0"/>
      </c:catAx>
      <c:valAx>
        <c:axId val="90606976"/>
        <c:scaling>
          <c:orientation val="minMax"/>
          <c:max val="3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05056"/>
        <c:crosses val="autoZero"/>
        <c:crossBetween val="between"/>
        <c:majorUnit val="5"/>
      </c:valAx>
      <c:valAx>
        <c:axId val="91346816"/>
        <c:scaling>
          <c:orientation val="minMax"/>
          <c:max val="100"/>
          <c:min val="-50"/>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5963773108673367"/>
              <c:y val="0.42847416034133612"/>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1398144"/>
        <c:crosses val="max"/>
        <c:crossBetween val="between"/>
        <c:majorUnit val="10"/>
      </c:valAx>
      <c:catAx>
        <c:axId val="91398144"/>
        <c:scaling>
          <c:orientation val="minMax"/>
        </c:scaling>
        <c:delete val="1"/>
        <c:axPos val="b"/>
        <c:majorTickMark val="out"/>
        <c:minorTickMark val="none"/>
        <c:tickLblPos val="nextTo"/>
        <c:crossAx val="91346816"/>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3008612032016893"/>
          <c:h val="0.90716563288748975"/>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Calcs'!$F$41:$Y$41</c:f>
              <c:numCache>
                <c:formatCode>0.00</c:formatCode>
                <c:ptCount val="20"/>
                <c:pt idx="0">
                  <c:v>0</c:v>
                </c:pt>
                <c:pt idx="1">
                  <c:v>0.24955499999999997</c:v>
                </c:pt>
                <c:pt idx="2">
                  <c:v>0.24955499999999997</c:v>
                </c:pt>
                <c:pt idx="3">
                  <c:v>7.5647924855544089</c:v>
                </c:pt>
                <c:pt idx="4">
                  <c:v>8.1705112514328029</c:v>
                </c:pt>
                <c:pt idx="5">
                  <c:v>8.9054826619056691</c:v>
                </c:pt>
                <c:pt idx="6">
                  <c:v>5.7671574543444128</c:v>
                </c:pt>
                <c:pt idx="7">
                  <c:v>6.5350547880546621</c:v>
                </c:pt>
                <c:pt idx="8">
                  <c:v>7.5337649305286449</c:v>
                </c:pt>
                <c:pt idx="9">
                  <c:v>8.2695690317028578</c:v>
                </c:pt>
                <c:pt idx="10">
                  <c:v>9.4968741170439639</c:v>
                </c:pt>
                <c:pt idx="11">
                  <c:v>10.495857904453024</c:v>
                </c:pt>
                <c:pt idx="12">
                  <c:v>11.166112731419165</c:v>
                </c:pt>
                <c:pt idx="13">
                  <c:v>12.662310537804995</c:v>
                </c:pt>
                <c:pt idx="14">
                  <c:v>13.862852051464031</c:v>
                </c:pt>
                <c:pt idx="15">
                  <c:v>17.241015613599121</c:v>
                </c:pt>
                <c:pt idx="16">
                  <c:v>16.363289583490612</c:v>
                </c:pt>
                <c:pt idx="17">
                  <c:v>17.275246528164246</c:v>
                </c:pt>
                <c:pt idx="18">
                  <c:v>17.548149195053558</c:v>
                </c:pt>
                <c:pt idx="19">
                  <c:v>17.91406391525118</c:v>
                </c:pt>
              </c:numCache>
            </c:numRef>
          </c:val>
          <c:extLst xmlns:c16r2="http://schemas.microsoft.com/office/drawing/2015/06/chart">
            <c:ext xmlns:c16="http://schemas.microsoft.com/office/drawing/2014/chart" uri="{C3380CC4-5D6E-409C-BE32-E72D297353CC}">
              <c16:uniqueId val="{00000000-7D20-4F16-9A5F-002BAC4E5543}"/>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Calcs'!$G$65:$Z$65</c:f>
              <c:numCache>
                <c:formatCode>0.00</c:formatCode>
                <c:ptCount val="20"/>
                <c:pt idx="0">
                  <c:v>-6.7182313333333337</c:v>
                </c:pt>
                <c:pt idx="1">
                  <c:v>-7.332082333333334</c:v>
                </c:pt>
                <c:pt idx="2">
                  <c:v>-4.2248593333333329</c:v>
                </c:pt>
                <c:pt idx="3">
                  <c:v>-1.1288533333333333</c:v>
                </c:pt>
                <c:pt idx="4">
                  <c:v>-1.6342866666666667</c:v>
                </c:pt>
                <c:pt idx="5">
                  <c:v>0</c:v>
                </c:pt>
                <c:pt idx="6">
                  <c:v>0</c:v>
                </c:pt>
                <c:pt idx="7">
                  <c:v>-3.3591156666666668</c:v>
                </c:pt>
                <c:pt idx="8">
                  <c:v>-3.666041166666667</c:v>
                </c:pt>
                <c:pt idx="9">
                  <c:v>-2.1124296666666664</c:v>
                </c:pt>
                <c:pt idx="10">
                  <c:v>-0.56442666666666663</c:v>
                </c:pt>
                <c:pt idx="11">
                  <c:v>-0.81714333333333333</c:v>
                </c:pt>
                <c:pt idx="12">
                  <c:v>0</c:v>
                </c:pt>
                <c:pt idx="13">
                  <c:v>0</c:v>
                </c:pt>
                <c:pt idx="14">
                  <c:v>-3.3591156666666668</c:v>
                </c:pt>
                <c:pt idx="15">
                  <c:v>-3.666041166666667</c:v>
                </c:pt>
                <c:pt idx="16">
                  <c:v>-2.1124296666666664</c:v>
                </c:pt>
                <c:pt idx="17">
                  <c:v>-0.56442666666666663</c:v>
                </c:pt>
                <c:pt idx="18">
                  <c:v>-0.81714333333333333</c:v>
                </c:pt>
                <c:pt idx="19">
                  <c:v>0</c:v>
                </c:pt>
              </c:numCache>
            </c:numRef>
          </c:val>
          <c:extLst xmlns:c16r2="http://schemas.microsoft.com/office/drawing/2015/06/chart">
            <c:ext xmlns:c16="http://schemas.microsoft.com/office/drawing/2014/chart" uri="{C3380CC4-5D6E-409C-BE32-E72D297353CC}">
              <c16:uniqueId val="{00000001-7D20-4F16-9A5F-002BAC4E5543}"/>
            </c:ext>
          </c:extLst>
        </c:ser>
        <c:dLbls>
          <c:showLegendKey val="0"/>
          <c:showVal val="0"/>
          <c:showCatName val="0"/>
          <c:showSerName val="0"/>
          <c:showPercent val="0"/>
          <c:showBubbleSize val="0"/>
        </c:dLbls>
        <c:gapWidth val="50"/>
        <c:overlap val="100"/>
        <c:axId val="105290368"/>
        <c:axId val="105841792"/>
      </c:barChart>
      <c:lineChart>
        <c:grouping val="standard"/>
        <c:varyColors val="0"/>
        <c:ser>
          <c:idx val="2"/>
          <c:order val="2"/>
          <c:tx>
            <c:v>Result (right axis)</c:v>
          </c:tx>
          <c:spPr>
            <a:ln w="28575" cap="rnd">
              <a:solidFill>
                <a:schemeClr val="accent3"/>
              </a:solidFill>
              <a:round/>
            </a:ln>
            <a:effectLst/>
          </c:spPr>
          <c:marker>
            <c:symbol val="none"/>
          </c:marker>
          <c:val>
            <c:numRef>
              <c:f>'Benefit Calcs'!$F$44:$Y$44</c:f>
              <c:numCache>
                <c:formatCode>0.00</c:formatCode>
                <c:ptCount val="20"/>
                <c:pt idx="0">
                  <c:v>-6.7182313333333337</c:v>
                </c:pt>
                <c:pt idx="1">
                  <c:v>-13.800758666666667</c:v>
                </c:pt>
                <c:pt idx="2">
                  <c:v>-17.776063000000001</c:v>
                </c:pt>
                <c:pt idx="3">
                  <c:v>-11.340123847778925</c:v>
                </c:pt>
                <c:pt idx="4">
                  <c:v>-4.8038992630127879</c:v>
                </c:pt>
                <c:pt idx="5">
                  <c:v>4.1015833988928811</c:v>
                </c:pt>
                <c:pt idx="6">
                  <c:v>9.8687408532372949</c:v>
                </c:pt>
                <c:pt idx="7">
                  <c:v>13.044679974625289</c:v>
                </c:pt>
                <c:pt idx="8">
                  <c:v>16.912403738487267</c:v>
                </c:pt>
                <c:pt idx="9">
                  <c:v>23.069543103523458</c:v>
                </c:pt>
                <c:pt idx="10">
                  <c:v>32.001990553900754</c:v>
                </c:pt>
                <c:pt idx="11">
                  <c:v>41.680705125020445</c:v>
                </c:pt>
                <c:pt idx="12">
                  <c:v>52.846817856439614</c:v>
                </c:pt>
                <c:pt idx="13">
                  <c:v>65.509128394244613</c:v>
                </c:pt>
                <c:pt idx="14">
                  <c:v>76.012864779041976</c:v>
                </c:pt>
                <c:pt idx="15">
                  <c:v>89.587839225974434</c:v>
                </c:pt>
                <c:pt idx="16">
                  <c:v>103.83869914279838</c:v>
                </c:pt>
                <c:pt idx="17">
                  <c:v>120.54951900429596</c:v>
                </c:pt>
                <c:pt idx="18">
                  <c:v>137.28052486601618</c:v>
                </c:pt>
                <c:pt idx="19">
                  <c:v>155.19458878126736</c:v>
                </c:pt>
              </c:numCache>
            </c:numRef>
          </c:val>
          <c:smooth val="0"/>
          <c:extLst xmlns:c16r2="http://schemas.microsoft.com/office/drawing/2015/06/chart">
            <c:ext xmlns:c16="http://schemas.microsoft.com/office/drawing/2014/chart" uri="{C3380CC4-5D6E-409C-BE32-E72D297353CC}">
              <c16:uniqueId val="{00000003-7D20-4F16-9A5F-002BAC4E5543}"/>
            </c:ext>
          </c:extLst>
        </c:ser>
        <c:dLbls>
          <c:showLegendKey val="0"/>
          <c:showVal val="0"/>
          <c:showCatName val="0"/>
          <c:showSerName val="0"/>
          <c:showPercent val="0"/>
          <c:showBubbleSize val="0"/>
        </c:dLbls>
        <c:marker val="1"/>
        <c:smooth val="0"/>
        <c:axId val="161294592"/>
        <c:axId val="105843712"/>
      </c:lineChart>
      <c:catAx>
        <c:axId val="1052903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163555155406609"/>
              <c:y val="0.87236215392008321"/>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105841792"/>
        <c:crosses val="autoZero"/>
        <c:auto val="1"/>
        <c:lblAlgn val="ctr"/>
        <c:lblOffset val="100"/>
        <c:noMultiLvlLbl val="0"/>
      </c:catAx>
      <c:valAx>
        <c:axId val="105841792"/>
        <c:scaling>
          <c:orientation val="minMax"/>
          <c:max val="3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05290368"/>
        <c:crosses val="autoZero"/>
        <c:crossBetween val="between"/>
        <c:majorUnit val="5"/>
      </c:valAx>
      <c:valAx>
        <c:axId val="105843712"/>
        <c:scaling>
          <c:orientation val="minMax"/>
          <c:max val="160"/>
          <c:min val="-80"/>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5510308751377782"/>
              <c:y val="0.42847416034133612"/>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61294592"/>
        <c:crosses val="max"/>
        <c:crossBetween val="between"/>
        <c:majorUnit val="20"/>
      </c:valAx>
      <c:catAx>
        <c:axId val="161294592"/>
        <c:scaling>
          <c:orientation val="minMax"/>
        </c:scaling>
        <c:delete val="1"/>
        <c:axPos val="b"/>
        <c:majorTickMark val="out"/>
        <c:minorTickMark val="none"/>
        <c:tickLblPos val="nextTo"/>
        <c:crossAx val="10584371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3362528360986277"/>
          <c:h val="0.88838110213755794"/>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Calcs'!$F$97:$Y$97</c:f>
              <c:numCache>
                <c:formatCode>0.00</c:formatCode>
                <c:ptCount val="20"/>
                <c:pt idx="0">
                  <c:v>0</c:v>
                </c:pt>
                <c:pt idx="1">
                  <c:v>0.2845458555</c:v>
                </c:pt>
                <c:pt idx="2">
                  <c:v>0.42110825377499994</c:v>
                </c:pt>
                <c:pt idx="3">
                  <c:v>10.58618285250064</c:v>
                </c:pt>
                <c:pt idx="4">
                  <c:v>11.474319430028531</c:v>
                </c:pt>
                <c:pt idx="5">
                  <c:v>12.573035375886583</c:v>
                </c:pt>
                <c:pt idx="6">
                  <c:v>7.4745473968705332</c:v>
                </c:pt>
                <c:pt idx="7">
                  <c:v>8.5073804032523661</c:v>
                </c:pt>
                <c:pt idx="8">
                  <c:v>9.9198998946284931</c:v>
                </c:pt>
                <c:pt idx="9">
                  <c:v>10.85427834721111</c:v>
                </c:pt>
                <c:pt idx="10">
                  <c:v>12.615901371130478</c:v>
                </c:pt>
                <c:pt idx="11">
                  <c:v>13.954598215569664</c:v>
                </c:pt>
                <c:pt idx="12">
                  <c:v>14.693602013770104</c:v>
                </c:pt>
                <c:pt idx="13">
                  <c:v>16.831344268110762</c:v>
                </c:pt>
                <c:pt idx="14">
                  <c:v>18.420419471435643</c:v>
                </c:pt>
                <c:pt idx="15">
                  <c:v>23.74421304040213</c:v>
                </c:pt>
                <c:pt idx="16">
                  <c:v>21.647311116515588</c:v>
                </c:pt>
                <c:pt idx="17">
                  <c:v>22.604312824180468</c:v>
                </c:pt>
                <c:pt idx="18">
                  <c:v>22.400573985368442</c:v>
                </c:pt>
                <c:pt idx="19">
                  <c:v>22.299693050008241</c:v>
                </c:pt>
              </c:numCache>
            </c:numRef>
          </c:val>
          <c:extLst xmlns:c16r2="http://schemas.microsoft.com/office/drawing/2015/06/chart">
            <c:ext xmlns:c16="http://schemas.microsoft.com/office/drawing/2014/chart" uri="{C3380CC4-5D6E-409C-BE32-E72D297353CC}">
              <c16:uniqueId val="{00000000-775E-491C-B7C4-2ABC2F4C1D76}"/>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Calcs'!$G$164:$Z$164</c:f>
              <c:numCache>
                <c:formatCode>0.0</c:formatCode>
                <c:ptCount val="20"/>
                <c:pt idx="0">
                  <c:v>-6.7182313333333337</c:v>
                </c:pt>
                <c:pt idx="1">
                  <c:v>-9.6281641541904772</c:v>
                </c:pt>
                <c:pt idx="2">
                  <c:v>-7.3849874008571419</c:v>
                </c:pt>
                <c:pt idx="3">
                  <c:v>-6.0157942681847789</c:v>
                </c:pt>
                <c:pt idx="4">
                  <c:v>-6.8343352176770136</c:v>
                </c:pt>
                <c:pt idx="5">
                  <c:v>-5.6037774091915473</c:v>
                </c:pt>
                <c:pt idx="6">
                  <c:v>-3.893611678218754</c:v>
                </c:pt>
                <c:pt idx="7">
                  <c:v>-7.3801094099540254</c:v>
                </c:pt>
                <c:pt idx="8">
                  <c:v>-7.8413203030331111</c:v>
                </c:pt>
                <c:pt idx="9">
                  <c:v>-6.4614685504829747</c:v>
                </c:pt>
                <c:pt idx="10">
                  <c:v>-5.1222743214085078</c:v>
                </c:pt>
                <c:pt idx="11">
                  <c:v>-5.6099179191246051</c:v>
                </c:pt>
                <c:pt idx="12">
                  <c:v>-5.0431292898330735</c:v>
                </c:pt>
                <c:pt idx="13">
                  <c:v>-5.3394031832319353</c:v>
                </c:pt>
                <c:pt idx="14">
                  <c:v>-9.0282592337022187</c:v>
                </c:pt>
                <c:pt idx="15">
                  <c:v>-9.7910623710110141</c:v>
                </c:pt>
                <c:pt idx="16">
                  <c:v>-8.6416059948378265</c:v>
                </c:pt>
                <c:pt idx="17">
                  <c:v>-7.5160750582922233</c:v>
                </c:pt>
                <c:pt idx="18">
                  <c:v>-8.1780859535391652</c:v>
                </c:pt>
                <c:pt idx="19">
                  <c:v>-7.7578587657208757</c:v>
                </c:pt>
              </c:numCache>
            </c:numRef>
          </c:val>
          <c:extLst xmlns:c16r2="http://schemas.microsoft.com/office/drawing/2015/06/chart">
            <c:ext xmlns:c16="http://schemas.microsoft.com/office/drawing/2014/chart" uri="{C3380CC4-5D6E-409C-BE32-E72D297353CC}">
              <c16:uniqueId val="{00000001-775E-491C-B7C4-2ABC2F4C1D76}"/>
            </c:ext>
          </c:extLst>
        </c:ser>
        <c:dLbls>
          <c:showLegendKey val="0"/>
          <c:showVal val="0"/>
          <c:showCatName val="0"/>
          <c:showSerName val="0"/>
          <c:showPercent val="0"/>
          <c:showBubbleSize val="0"/>
        </c:dLbls>
        <c:gapWidth val="50"/>
        <c:overlap val="100"/>
        <c:axId val="233165568"/>
        <c:axId val="233167872"/>
      </c:barChart>
      <c:lineChart>
        <c:grouping val="standard"/>
        <c:varyColors val="0"/>
        <c:ser>
          <c:idx val="2"/>
          <c:order val="2"/>
          <c:tx>
            <c:v>Result (right axis)</c:v>
          </c:tx>
          <c:spPr>
            <a:ln w="28575" cap="rnd">
              <a:solidFill>
                <a:schemeClr val="tx1"/>
              </a:solidFill>
              <a:round/>
            </a:ln>
            <a:effectLst/>
          </c:spPr>
          <c:marker>
            <c:symbol val="none"/>
          </c:marker>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Calcs'!$F$99:$Y$99</c:f>
              <c:numCache>
                <c:formatCode>0.00</c:formatCode>
                <c:ptCount val="20"/>
                <c:pt idx="0">
                  <c:v>-6.7182313333333337</c:v>
                </c:pt>
                <c:pt idx="1">
                  <c:v>-16.061849632023812</c:v>
                </c:pt>
                <c:pt idx="2">
                  <c:v>-23.025728779105954</c:v>
                </c:pt>
                <c:pt idx="3">
                  <c:v>-18.455340194790093</c:v>
                </c:pt>
                <c:pt idx="4">
                  <c:v>-13.815355982438575</c:v>
                </c:pt>
                <c:pt idx="5">
                  <c:v>-6.8460980157435394</c:v>
                </c:pt>
                <c:pt idx="6">
                  <c:v>-3.2651622970917602</c:v>
                </c:pt>
                <c:pt idx="7">
                  <c:v>-2.1378913037934195</c:v>
                </c:pt>
                <c:pt idx="8">
                  <c:v>-5.9311712198037547E-2</c:v>
                </c:pt>
                <c:pt idx="9">
                  <c:v>4.3334980845300981</c:v>
                </c:pt>
                <c:pt idx="10">
                  <c:v>11.827125134252068</c:v>
                </c:pt>
                <c:pt idx="11">
                  <c:v>20.171805430697127</c:v>
                </c:pt>
                <c:pt idx="12">
                  <c:v>29.822278154634155</c:v>
                </c:pt>
                <c:pt idx="13">
                  <c:v>41.31421923951298</c:v>
                </c:pt>
                <c:pt idx="14">
                  <c:v>50.706379477246401</c:v>
                </c:pt>
                <c:pt idx="15">
                  <c:v>64.659530146637522</c:v>
                </c:pt>
                <c:pt idx="16">
                  <c:v>77.665235268315286</c:v>
                </c:pt>
                <c:pt idx="17">
                  <c:v>92.753473034203523</c:v>
                </c:pt>
                <c:pt idx="18">
                  <c:v>106.9759610660328</c:v>
                </c:pt>
                <c:pt idx="19">
                  <c:v>121.51779535032016</c:v>
                </c:pt>
              </c:numCache>
            </c:numRef>
          </c:val>
          <c:smooth val="0"/>
          <c:extLst xmlns:c16r2="http://schemas.microsoft.com/office/drawing/2015/06/chart">
            <c:ext xmlns:c16="http://schemas.microsoft.com/office/drawing/2014/chart" uri="{C3380CC4-5D6E-409C-BE32-E72D297353CC}">
              <c16:uniqueId val="{00000002-775E-491C-B7C4-2ABC2F4C1D76}"/>
            </c:ext>
          </c:extLst>
        </c:ser>
        <c:dLbls>
          <c:showLegendKey val="0"/>
          <c:showVal val="0"/>
          <c:showCatName val="0"/>
          <c:showSerName val="0"/>
          <c:showPercent val="0"/>
          <c:showBubbleSize val="0"/>
        </c:dLbls>
        <c:marker val="1"/>
        <c:smooth val="0"/>
        <c:axId val="81722368"/>
        <c:axId val="81720448"/>
      </c:lineChart>
      <c:catAx>
        <c:axId val="2331655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4863182134876733"/>
              <c:y val="0.8640134735867803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233167872"/>
        <c:crosses val="autoZero"/>
        <c:auto val="1"/>
        <c:lblAlgn val="ctr"/>
        <c:lblOffset val="100"/>
        <c:noMultiLvlLbl val="0"/>
      </c:catAx>
      <c:valAx>
        <c:axId val="233167872"/>
        <c:scaling>
          <c:orientation val="minMax"/>
          <c:max val="3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33165568"/>
        <c:crosses val="autoZero"/>
        <c:crossBetween val="between"/>
        <c:majorUnit val="5"/>
      </c:valAx>
      <c:valAx>
        <c:axId val="81720448"/>
        <c:scaling>
          <c:orientation val="minMax"/>
          <c:max val="140"/>
          <c:min val="-70"/>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5635780074243282"/>
              <c:y val="0.41699472488304451"/>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722368"/>
        <c:crosses val="max"/>
        <c:crossBetween val="between"/>
        <c:majorUnit val="14"/>
      </c:valAx>
      <c:catAx>
        <c:axId val="81722368"/>
        <c:scaling>
          <c:orientation val="minMax"/>
        </c:scaling>
        <c:delete val="1"/>
        <c:axPos val="b"/>
        <c:numFmt formatCode="General" sourceLinked="1"/>
        <c:majorTickMark val="out"/>
        <c:minorTickMark val="none"/>
        <c:tickLblPos val="nextTo"/>
        <c:crossAx val="81720448"/>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899177928730912E-2"/>
          <c:y val="2.5724453449040344E-2"/>
          <c:w val="0.83226146488306385"/>
          <c:h val="0.88838110213755794"/>
        </c:manualLayout>
      </c:layout>
      <c:barChart>
        <c:barDir val="col"/>
        <c:grouping val="clustered"/>
        <c:varyColors val="0"/>
        <c:ser>
          <c:idx val="0"/>
          <c:order val="0"/>
          <c:tx>
            <c:v>Benefits</c:v>
          </c:tx>
          <c:spPr>
            <a:solidFill>
              <a:schemeClr val="accent6">
                <a:lumMod val="75000"/>
              </a:schemeClr>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Calcs'!$F$97:$Y$97</c:f>
              <c:numCache>
                <c:formatCode>0.00</c:formatCode>
                <c:ptCount val="20"/>
                <c:pt idx="0">
                  <c:v>0</c:v>
                </c:pt>
                <c:pt idx="1">
                  <c:v>0.2845458555</c:v>
                </c:pt>
                <c:pt idx="2">
                  <c:v>0.42110825377499994</c:v>
                </c:pt>
                <c:pt idx="3">
                  <c:v>10.58618285250064</c:v>
                </c:pt>
                <c:pt idx="4">
                  <c:v>11.474319430028531</c:v>
                </c:pt>
                <c:pt idx="5">
                  <c:v>12.573035375886583</c:v>
                </c:pt>
                <c:pt idx="6">
                  <c:v>7.4745473968705332</c:v>
                </c:pt>
                <c:pt idx="7">
                  <c:v>8.5073804032523661</c:v>
                </c:pt>
                <c:pt idx="8">
                  <c:v>9.9198998946284931</c:v>
                </c:pt>
                <c:pt idx="9">
                  <c:v>10.85427834721111</c:v>
                </c:pt>
                <c:pt idx="10">
                  <c:v>12.615901371130478</c:v>
                </c:pt>
                <c:pt idx="11">
                  <c:v>13.954598215569664</c:v>
                </c:pt>
                <c:pt idx="12">
                  <c:v>14.693602013770104</c:v>
                </c:pt>
                <c:pt idx="13">
                  <c:v>16.831344268110762</c:v>
                </c:pt>
                <c:pt idx="14">
                  <c:v>18.420419471435643</c:v>
                </c:pt>
                <c:pt idx="15">
                  <c:v>23.74421304040213</c:v>
                </c:pt>
                <c:pt idx="16">
                  <c:v>21.647311116515588</c:v>
                </c:pt>
                <c:pt idx="17">
                  <c:v>22.604312824180468</c:v>
                </c:pt>
                <c:pt idx="18">
                  <c:v>22.400573985368442</c:v>
                </c:pt>
                <c:pt idx="19">
                  <c:v>22.299693050008241</c:v>
                </c:pt>
              </c:numCache>
            </c:numRef>
          </c:val>
          <c:extLst xmlns:c16r2="http://schemas.microsoft.com/office/drawing/2015/06/chart">
            <c:ext xmlns:c16="http://schemas.microsoft.com/office/drawing/2014/chart" uri="{C3380CC4-5D6E-409C-BE32-E72D297353CC}">
              <c16:uniqueId val="{00000000-FC10-44C2-8A10-ABCBE9C5BAF0}"/>
            </c:ext>
          </c:extLst>
        </c:ser>
        <c:ser>
          <c:idx val="1"/>
          <c:order val="1"/>
          <c:tx>
            <c:v>Costs</c:v>
          </c:tx>
          <c:spPr>
            <a:solidFill>
              <a:srgbClr val="C00000"/>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'Cost Calcs'!$G$165:$Z$165</c:f>
              <c:numCache>
                <c:formatCode>0.00</c:formatCode>
                <c:ptCount val="20"/>
                <c:pt idx="0">
                  <c:v>-6.7182313333333337</c:v>
                </c:pt>
                <c:pt idx="1">
                  <c:v>-9.2393493641904758</c:v>
                </c:pt>
                <c:pt idx="2">
                  <c:v>-6.1321263641904764</c:v>
                </c:pt>
                <c:pt idx="3">
                  <c:v>-3.0361203641904759</c:v>
                </c:pt>
                <c:pt idx="4">
                  <c:v>-3.5415536975238093</c:v>
                </c:pt>
                <c:pt idx="5">
                  <c:v>-1.9072670308571431</c:v>
                </c:pt>
                <c:pt idx="6">
                  <c:v>0</c:v>
                </c:pt>
                <c:pt idx="7">
                  <c:v>-3.3591156666666668</c:v>
                </c:pt>
                <c:pt idx="8">
                  <c:v>-3.666041166666667</c:v>
                </c:pt>
                <c:pt idx="9">
                  <c:v>-2.1124296666666664</c:v>
                </c:pt>
                <c:pt idx="10">
                  <c:v>-0.56442666666666663</c:v>
                </c:pt>
                <c:pt idx="11">
                  <c:v>-0.81714333333333333</c:v>
                </c:pt>
                <c:pt idx="12">
                  <c:v>0</c:v>
                </c:pt>
                <c:pt idx="13">
                  <c:v>0</c:v>
                </c:pt>
                <c:pt idx="14">
                  <c:v>-3.3591156666666668</c:v>
                </c:pt>
                <c:pt idx="15">
                  <c:v>-3.666041166666667</c:v>
                </c:pt>
                <c:pt idx="16">
                  <c:v>-2.1124296666666664</c:v>
                </c:pt>
                <c:pt idx="17">
                  <c:v>-0.56442666666666663</c:v>
                </c:pt>
                <c:pt idx="18">
                  <c:v>-0.81714333333333333</c:v>
                </c:pt>
                <c:pt idx="19">
                  <c:v>0</c:v>
                </c:pt>
              </c:numCache>
            </c:numRef>
          </c:val>
          <c:extLst xmlns:c16r2="http://schemas.microsoft.com/office/drawing/2015/06/chart">
            <c:ext xmlns:c16="http://schemas.microsoft.com/office/drawing/2014/chart" uri="{C3380CC4-5D6E-409C-BE32-E72D297353CC}">
              <c16:uniqueId val="{00000001-FC10-44C2-8A10-ABCBE9C5BAF0}"/>
            </c:ext>
          </c:extLst>
        </c:ser>
        <c:dLbls>
          <c:showLegendKey val="0"/>
          <c:showVal val="0"/>
          <c:showCatName val="0"/>
          <c:showSerName val="0"/>
          <c:showPercent val="0"/>
          <c:showBubbleSize val="0"/>
        </c:dLbls>
        <c:gapWidth val="50"/>
        <c:overlap val="100"/>
        <c:axId val="81919360"/>
        <c:axId val="82187776"/>
      </c:barChart>
      <c:lineChart>
        <c:grouping val="standard"/>
        <c:varyColors val="0"/>
        <c:ser>
          <c:idx val="2"/>
          <c:order val="2"/>
          <c:tx>
            <c:v>Result (right axis)</c:v>
          </c:tx>
          <c:spPr>
            <a:ln w="28575" cap="rnd">
              <a:solidFill>
                <a:schemeClr val="accent3"/>
              </a:solidFill>
              <a:round/>
            </a:ln>
            <a:effectLst/>
          </c:spPr>
          <c:marker>
            <c:symbol val="none"/>
          </c:marker>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Calcs'!$F$100:$Y$100</c:f>
              <c:numCache>
                <c:formatCode>0.00</c:formatCode>
                <c:ptCount val="20"/>
                <c:pt idx="0">
                  <c:v>-6.7182313333333337</c:v>
                </c:pt>
                <c:pt idx="1">
                  <c:v>-15.67303484202381</c:v>
                </c:pt>
                <c:pt idx="2">
                  <c:v>-21.384052952439287</c:v>
                </c:pt>
                <c:pt idx="3">
                  <c:v>-13.833990464129123</c:v>
                </c:pt>
                <c:pt idx="4">
                  <c:v>-5.9012247316244011</c:v>
                </c:pt>
                <c:pt idx="5">
                  <c:v>4.7645436134050385</c:v>
                </c:pt>
                <c:pt idx="6">
                  <c:v>12.239091010275573</c:v>
                </c:pt>
                <c:pt idx="7">
                  <c:v>17.387355746861271</c:v>
                </c:pt>
                <c:pt idx="8">
                  <c:v>23.641214474823098</c:v>
                </c:pt>
                <c:pt idx="9">
                  <c:v>32.383063155367537</c:v>
                </c:pt>
                <c:pt idx="10">
                  <c:v>44.434537859831352</c:v>
                </c:pt>
                <c:pt idx="11">
                  <c:v>57.571992742067678</c:v>
                </c:pt>
                <c:pt idx="12">
                  <c:v>72.265594755837782</c:v>
                </c:pt>
                <c:pt idx="13">
                  <c:v>89.096939023948551</c:v>
                </c:pt>
                <c:pt idx="14">
                  <c:v>104.15824282871753</c:v>
                </c:pt>
                <c:pt idx="15">
                  <c:v>124.236414702453</c:v>
                </c:pt>
                <c:pt idx="16">
                  <c:v>143.77129615230191</c:v>
                </c:pt>
                <c:pt idx="17">
                  <c:v>165.81118230981571</c:v>
                </c:pt>
                <c:pt idx="18">
                  <c:v>187.39461296185081</c:v>
                </c:pt>
                <c:pt idx="19">
                  <c:v>209.69430601185906</c:v>
                </c:pt>
              </c:numCache>
            </c:numRef>
          </c:val>
          <c:smooth val="0"/>
          <c:extLst xmlns:c16r2="http://schemas.microsoft.com/office/drawing/2015/06/chart">
            <c:ext xmlns:c16="http://schemas.microsoft.com/office/drawing/2014/chart" uri="{C3380CC4-5D6E-409C-BE32-E72D297353CC}">
              <c16:uniqueId val="{00000002-FC10-44C2-8A10-ABCBE9C5BAF0}"/>
            </c:ext>
          </c:extLst>
        </c:ser>
        <c:dLbls>
          <c:showLegendKey val="0"/>
          <c:showVal val="0"/>
          <c:showCatName val="0"/>
          <c:showSerName val="0"/>
          <c:showPercent val="0"/>
          <c:showBubbleSize val="0"/>
        </c:dLbls>
        <c:marker val="1"/>
        <c:smooth val="0"/>
        <c:axId val="82191872"/>
        <c:axId val="82189696"/>
      </c:lineChart>
      <c:catAx>
        <c:axId val="819193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4863182134876733"/>
              <c:y val="0.8640134735867803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accent6">
                    <a:lumMod val="50000"/>
                  </a:schemeClr>
                </a:solidFill>
                <a:latin typeface="+mn-lt"/>
                <a:ea typeface="+mn-ea"/>
                <a:cs typeface="+mn-cs"/>
              </a:defRPr>
            </a:pPr>
            <a:endParaRPr lang="en-US"/>
          </a:p>
        </c:txPr>
        <c:crossAx val="82187776"/>
        <c:crosses val="autoZero"/>
        <c:auto val="1"/>
        <c:lblAlgn val="ctr"/>
        <c:lblOffset val="100"/>
        <c:noMultiLvlLbl val="0"/>
      </c:catAx>
      <c:valAx>
        <c:axId val="82187776"/>
        <c:scaling>
          <c:orientation val="minMax"/>
          <c:max val="30"/>
          <c:min val="-1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$Million </a:t>
                </a:r>
              </a:p>
            </c:rich>
          </c:tx>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1919360"/>
        <c:crosses val="autoZero"/>
        <c:crossBetween val="between"/>
        <c:majorUnit val="5"/>
      </c:valAx>
      <c:valAx>
        <c:axId val="82189696"/>
        <c:scaling>
          <c:orientation val="minMax"/>
          <c:max val="220"/>
          <c:min val="-110"/>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 Million</a:t>
                </a:r>
              </a:p>
            </c:rich>
          </c:tx>
          <c:layout>
            <c:manualLayout>
              <c:xMode val="edge"/>
              <c:yMode val="edge"/>
              <c:x val="0.95591461334987382"/>
              <c:y val="0.41908189496637027"/>
            </c:manualLayout>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2191872"/>
        <c:crosses val="max"/>
        <c:crossBetween val="between"/>
        <c:majorUnit val="22"/>
      </c:valAx>
      <c:catAx>
        <c:axId val="82191872"/>
        <c:scaling>
          <c:orientation val="minMax"/>
        </c:scaling>
        <c:delete val="1"/>
        <c:axPos val="b"/>
        <c:numFmt formatCode="General" sourceLinked="1"/>
        <c:majorTickMark val="out"/>
        <c:minorTickMark val="none"/>
        <c:tickLblPos val="nextTo"/>
        <c:crossAx val="82189696"/>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a:t>Annual</a:t>
            </a:r>
            <a:r>
              <a:rPr lang="en-AU" baseline="0"/>
              <a:t> Demand Reduction in MVA - Monitoring &amp; Optimisation (Benefit Categories 3 &amp; 4)</a:t>
            </a:r>
            <a:endParaRPr lang="en-AU"/>
          </a:p>
        </c:rich>
      </c:tx>
      <c:layout>
        <c:manualLayout>
          <c:xMode val="edge"/>
          <c:yMode val="edge"/>
          <c:x val="0.14629490382776866"/>
          <c:y val="1.6701131929079367E-2"/>
        </c:manualLayout>
      </c:layout>
      <c:overlay val="0"/>
      <c:spPr>
        <a:noFill/>
        <a:ln>
          <a:noFill/>
        </a:ln>
        <a:effectLst/>
      </c:spPr>
    </c:title>
    <c:autoTitleDeleted val="0"/>
    <c:plotArea>
      <c:layout>
        <c:manualLayout>
          <c:layoutTarget val="inner"/>
          <c:xMode val="edge"/>
          <c:yMode val="edge"/>
          <c:x val="6.1650185231452007E-2"/>
          <c:y val="7.7513061650992685E-2"/>
          <c:w val="0.92333787345159135"/>
          <c:h val="0.80696253877356239"/>
        </c:manualLayout>
      </c:layout>
      <c:barChart>
        <c:barDir val="col"/>
        <c:grouping val="clustered"/>
        <c:varyColors val="0"/>
        <c:ser>
          <c:idx val="1"/>
          <c:order val="0"/>
          <c:tx>
            <c:v>Option 1</c:v>
          </c:tx>
          <c:spPr>
            <a:solidFill>
              <a:schemeClr val="accent2"/>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Calcs'!$F$46:$Y$46</c:f>
              <c:numCache>
                <c:formatCode>0.00</c:formatCode>
                <c:ptCount val="20"/>
                <c:pt idx="0">
                  <c:v>0</c:v>
                </c:pt>
                <c:pt idx="1">
                  <c:v>3.1343624653908617</c:v>
                </c:pt>
                <c:pt idx="2">
                  <c:v>3.2560219513232385</c:v>
                </c:pt>
                <c:pt idx="3">
                  <c:v>3.9062539929481921</c:v>
                </c:pt>
                <c:pt idx="4">
                  <c:v>4.5857484353513795</c:v>
                </c:pt>
                <c:pt idx="5">
                  <c:v>5.4512887677096824</c:v>
                </c:pt>
                <c:pt idx="6">
                  <c:v>6.4992055886274489</c:v>
                </c:pt>
                <c:pt idx="7">
                  <c:v>7.4121394014867654</c:v>
                </c:pt>
                <c:pt idx="8">
                  <c:v>8.6573045164924878</c:v>
                </c:pt>
                <c:pt idx="9">
                  <c:v>9.5240434214840661</c:v>
                </c:pt>
                <c:pt idx="10">
                  <c:v>11.098247448756435</c:v>
                </c:pt>
                <c:pt idx="11">
                  <c:v>12.343806447505411</c:v>
                </c:pt>
                <c:pt idx="12">
                  <c:v>13.116193913157279</c:v>
                </c:pt>
                <c:pt idx="13">
                  <c:v>15.077441360285196</c:v>
                </c:pt>
                <c:pt idx="14">
                  <c:v>16.61312197840342</c:v>
                </c:pt>
                <c:pt idx="15">
                  <c:v>21.283265595446878</c:v>
                </c:pt>
                <c:pt idx="16">
                  <c:v>19.827493806860549</c:v>
                </c:pt>
                <c:pt idx="17">
                  <c:v>20.947786615060814</c:v>
                </c:pt>
                <c:pt idx="18">
                  <c:v>21.148226508738261</c:v>
                </c:pt>
                <c:pt idx="19">
                  <c:v>21.482547688083713</c:v>
                </c:pt>
              </c:numCache>
            </c:numRef>
          </c:val>
          <c:extLst xmlns:c16r2="http://schemas.microsoft.com/office/drawing/2015/06/chart">
            <c:ext xmlns:c16="http://schemas.microsoft.com/office/drawing/2014/chart" uri="{C3380CC4-5D6E-409C-BE32-E72D297353CC}">
              <c16:uniqueId val="{00000001-286C-4462-9070-3AAB8DDE0A53}"/>
            </c:ext>
          </c:extLst>
        </c:ser>
        <c:ser>
          <c:idx val="0"/>
          <c:order val="1"/>
          <c:tx>
            <c:v>Option 2</c:v>
          </c:tx>
          <c:spPr>
            <a:solidFill>
              <a:schemeClr val="accent1"/>
            </a:solidFill>
            <a:ln>
              <a:noFill/>
            </a:ln>
            <a:effectLst/>
          </c:spPr>
          <c:invertIfNegative val="0"/>
          <c:cat>
            <c:numRef>
              <c:f>'Benefit Calcs'!$F$4:$Y$4</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'Benefit Calcs'!$F$102:$Y$102</c:f>
              <c:numCache>
                <c:formatCode>0.00</c:formatCode>
                <c:ptCount val="20"/>
                <c:pt idx="0">
                  <c:v>0</c:v>
                </c:pt>
                <c:pt idx="1">
                  <c:v>4.828279944625379</c:v>
                </c:pt>
                <c:pt idx="2">
                  <c:v>5.0249863776790615</c:v>
                </c:pt>
                <c:pt idx="3">
                  <c:v>5.8658069211101989</c:v>
                </c:pt>
                <c:pt idx="4">
                  <c:v>6.8217639546090583</c:v>
                </c:pt>
                <c:pt idx="5">
                  <c:v>8.0780171973634474</c:v>
                </c:pt>
                <c:pt idx="6">
                  <c:v>8.3126880202875775</c:v>
                </c:pt>
                <c:pt idx="7">
                  <c:v>9.5998464625770605</c:v>
                </c:pt>
                <c:pt idx="8">
                  <c:v>11.433346478586982</c:v>
                </c:pt>
                <c:pt idx="9">
                  <c:v>12.578429112239045</c:v>
                </c:pt>
                <c:pt idx="10">
                  <c:v>14.914058144344486</c:v>
                </c:pt>
                <c:pt idx="11">
                  <c:v>16.64073666549271</c:v>
                </c:pt>
                <c:pt idx="12">
                  <c:v>17.504022154937626</c:v>
                </c:pt>
                <c:pt idx="13">
                  <c:v>20.380446333839188</c:v>
                </c:pt>
                <c:pt idx="14">
                  <c:v>22.466914202845217</c:v>
                </c:pt>
                <c:pt idx="15">
                  <c:v>29.928913416415195</c:v>
                </c:pt>
                <c:pt idx="16">
                  <c:v>26.709367621296224</c:v>
                </c:pt>
                <c:pt idx="17">
                  <c:v>27.885379657783876</c:v>
                </c:pt>
                <c:pt idx="18">
                  <c:v>27.390397092659263</c:v>
                </c:pt>
                <c:pt idx="19">
                  <c:v>27.04323425127599</c:v>
                </c:pt>
              </c:numCache>
            </c:numRef>
          </c:val>
          <c:extLst xmlns:c16r2="http://schemas.microsoft.com/office/drawing/2015/06/chart">
            <c:ext xmlns:c16="http://schemas.microsoft.com/office/drawing/2014/chart" uri="{C3380CC4-5D6E-409C-BE32-E72D297353CC}">
              <c16:uniqueId val="{00000000-286C-4462-9070-3AAB8DDE0A53}"/>
            </c:ext>
          </c:extLst>
        </c:ser>
        <c:dLbls>
          <c:showLegendKey val="0"/>
          <c:showVal val="0"/>
          <c:showCatName val="0"/>
          <c:showSerName val="0"/>
          <c:showPercent val="0"/>
          <c:showBubbleSize val="0"/>
        </c:dLbls>
        <c:gapWidth val="50"/>
        <c:overlap val="-27"/>
        <c:axId val="82214272"/>
        <c:axId val="82220544"/>
      </c:barChart>
      <c:catAx>
        <c:axId val="822142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Financial Year</a:t>
                </a:r>
              </a:p>
            </c:rich>
          </c:tx>
          <c:layout>
            <c:manualLayout>
              <c:xMode val="edge"/>
              <c:yMode val="edge"/>
              <c:x val="0.45495681514733893"/>
              <c:y val="0.9413162853075967"/>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220544"/>
        <c:crosses val="autoZero"/>
        <c:auto val="1"/>
        <c:lblAlgn val="ctr"/>
        <c:lblOffset val="100"/>
        <c:noMultiLvlLbl val="0"/>
      </c:catAx>
      <c:valAx>
        <c:axId val="82220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MVA per Annum</a:t>
                </a:r>
              </a:p>
            </c:rich>
          </c:tx>
          <c:layout>
            <c:manualLayout>
              <c:xMode val="edge"/>
              <c:yMode val="edge"/>
              <c:x val="8.1853278535320446E-3"/>
              <c:y val="0.41360451851096913"/>
            </c:manualLayout>
          </c:layout>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214272"/>
        <c:crosses val="autoZero"/>
        <c:crossBetween val="between"/>
      </c:valAx>
      <c:spPr>
        <a:noFill/>
        <a:ln>
          <a:noFill/>
        </a:ln>
        <a:effectLst/>
      </c:spPr>
    </c:plotArea>
    <c:legend>
      <c:legendPos val="b"/>
      <c:layout>
        <c:manualLayout>
          <c:xMode val="edge"/>
          <c:yMode val="edge"/>
          <c:x val="0.1000382014684193"/>
          <c:y val="0.11833831115938098"/>
          <c:w val="0.20763427601232551"/>
          <c:h val="7.288425937353440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318611595436267E-2"/>
          <c:y val="4.1307536750954242E-2"/>
          <c:w val="0.90761115870159192"/>
          <c:h val="0.82068180888322617"/>
        </c:manualLayout>
      </c:layout>
      <c:lineChart>
        <c:grouping val="standard"/>
        <c:varyColors val="0"/>
        <c:ser>
          <c:idx val="1"/>
          <c:order val="0"/>
          <c:tx>
            <c:strRef>
              <c:f>'Time Series Data Inputs'!$A$12:$B$12</c:f>
              <c:strCache>
                <c:ptCount val="1"/>
                <c:pt idx="0">
                  <c:v>Residential EV Vic (AEMO ISP 2019) Number - Central</c:v>
                </c:pt>
              </c:strCache>
            </c:strRef>
          </c:tx>
          <c:spPr>
            <a:ln w="28575" cap="rnd">
              <a:solidFill>
                <a:schemeClr val="accent2"/>
              </a:solidFill>
              <a:round/>
            </a:ln>
            <a:effectLst/>
          </c:spPr>
          <c:marker>
            <c:symbol val="none"/>
          </c:marker>
          <c:cat>
            <c:numRef>
              <c:f>'Time Series Data Inputs'!$D$2:$R$2</c:f>
              <c:numCache>
                <c:formatCode>General</c:formatCode>
                <c:ptCount val="1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'Time Series Data Inputs'!$D$12:$R$12</c:f>
              <c:numCache>
                <c:formatCode>_-* #,##0_-;\-* #,##0_-;_-* "-"??_-;_-@_-</c:formatCode>
                <c:ptCount val="15"/>
                <c:pt idx="0">
                  <c:v>3514</c:v>
                </c:pt>
                <c:pt idx="1">
                  <c:v>5863</c:v>
                </c:pt>
                <c:pt idx="2">
                  <c:v>10917</c:v>
                </c:pt>
                <c:pt idx="3">
                  <c:v>20323</c:v>
                </c:pt>
                <c:pt idx="4">
                  <c:v>34711</c:v>
                </c:pt>
                <c:pt idx="5">
                  <c:v>55876</c:v>
                </c:pt>
                <c:pt idx="6">
                  <c:v>85472</c:v>
                </c:pt>
                <c:pt idx="7">
                  <c:v>124547</c:v>
                </c:pt>
                <c:pt idx="8">
                  <c:v>174478</c:v>
                </c:pt>
                <c:pt idx="9">
                  <c:v>236007</c:v>
                </c:pt>
                <c:pt idx="10">
                  <c:v>307359</c:v>
                </c:pt>
                <c:pt idx="11">
                  <c:v>389712</c:v>
                </c:pt>
                <c:pt idx="12">
                  <c:v>484579</c:v>
                </c:pt>
                <c:pt idx="13">
                  <c:v>593306</c:v>
                </c:pt>
                <c:pt idx="14">
                  <c:v>716465</c:v>
                </c:pt>
              </c:numCache>
            </c:numRef>
          </c:val>
          <c:smooth val="0"/>
          <c:extLst xmlns:c16r2="http://schemas.microsoft.com/office/drawing/2015/06/chart">
            <c:ext xmlns:c16="http://schemas.microsoft.com/office/drawing/2014/chart" uri="{C3380CC4-5D6E-409C-BE32-E72D297353CC}">
              <c16:uniqueId val="{00000001-48EF-4927-B31D-4F6932CF0C6E}"/>
            </c:ext>
          </c:extLst>
        </c:ser>
        <c:dLbls>
          <c:showLegendKey val="0"/>
          <c:showVal val="0"/>
          <c:showCatName val="0"/>
          <c:showSerName val="0"/>
          <c:showPercent val="0"/>
          <c:showBubbleSize val="0"/>
        </c:dLbls>
        <c:marker val="1"/>
        <c:smooth val="0"/>
        <c:axId val="82701696"/>
        <c:axId val="82732544"/>
      </c:lineChart>
      <c:catAx>
        <c:axId val="82701696"/>
        <c:scaling>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Financial Year</a:t>
                </a:r>
              </a:p>
            </c:rich>
          </c:tx>
          <c:layout>
            <c:manualLayout>
              <c:xMode val="edge"/>
              <c:yMode val="edge"/>
              <c:x val="0.4814907958263584"/>
              <c:y val="0.94456093751845616"/>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2732544"/>
        <c:crosses val="autoZero"/>
        <c:auto val="1"/>
        <c:lblAlgn val="ctr"/>
        <c:lblOffset val="100"/>
        <c:noMultiLvlLbl val="0"/>
      </c:catAx>
      <c:valAx>
        <c:axId val="827325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2701696"/>
        <c:crosses val="autoZero"/>
        <c:crossBetween val="between"/>
        <c:dispUnits>
          <c:builtInUnit val="thousands"/>
          <c:dispUnitsLbl>
            <c:layout>
              <c:manualLayout>
                <c:xMode val="edge"/>
                <c:yMode val="edge"/>
                <c:x val="8.4341808680279146E-3"/>
                <c:y val="3.2611213224437559E-2"/>
              </c:manualLayout>
            </c:layout>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dispUnitsLbl>
        </c:dispUnits>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96842558859245"/>
          <c:y val="5.5192447349310093E-2"/>
          <c:w val="0.87614102714772579"/>
          <c:h val="0.74960561302386219"/>
        </c:manualLayout>
      </c:layout>
      <c:lineChart>
        <c:grouping val="standard"/>
        <c:varyColors val="0"/>
        <c:ser>
          <c:idx val="0"/>
          <c:order val="0"/>
          <c:tx>
            <c:v>EV Load Impact</c:v>
          </c:tx>
          <c:spPr>
            <a:ln w="28575" cap="rnd">
              <a:solidFill>
                <a:schemeClr val="accent1"/>
              </a:solidFill>
              <a:round/>
            </a:ln>
            <a:effectLst/>
          </c:spPr>
          <c:marker>
            <c:symbol val="none"/>
          </c:marker>
          <c:cat>
            <c:numRef>
              <c:f>'Time Series Data Inputs'!$D$2:$W$2</c:f>
              <c:numCache>
                <c:formatCode>General</c:formatCode>
                <c:ptCount val="20"/>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numCache>
            </c:numRef>
          </c:cat>
          <c:val>
            <c:numRef>
              <c:f>'Time Series Data Inputs'!$D$19:$W$19</c:f>
              <c:numCache>
                <c:formatCode>0.000</c:formatCode>
                <c:ptCount val="20"/>
                <c:pt idx="0">
                  <c:v>0.9473159097083691</c:v>
                </c:pt>
                <c:pt idx="1">
                  <c:v>0.90559954833920031</c:v>
                </c:pt>
                <c:pt idx="2">
                  <c:v>0.87431227731232364</c:v>
                </c:pt>
                <c:pt idx="3">
                  <c:v>0.83259591594315485</c:v>
                </c:pt>
                <c:pt idx="4">
                  <c:v>0.79087955457398607</c:v>
                </c:pt>
                <c:pt idx="5">
                  <c:v>0.75959228354710939</c:v>
                </c:pt>
                <c:pt idx="6">
                  <c:v>0.73873410286252494</c:v>
                </c:pt>
                <c:pt idx="7">
                  <c:v>0.70744683183564838</c:v>
                </c:pt>
                <c:pt idx="8">
                  <c:v>0.68658865115106393</c:v>
                </c:pt>
                <c:pt idx="9">
                  <c:v>0.65530138012418726</c:v>
                </c:pt>
                <c:pt idx="10">
                  <c:v>0.64487228978189504</c:v>
                </c:pt>
                <c:pt idx="11">
                  <c:v>0.63444319943960281</c:v>
                </c:pt>
                <c:pt idx="12">
                  <c:v>0.61358501875501847</c:v>
                </c:pt>
                <c:pt idx="13">
                  <c:v>0.60315592841272625</c:v>
                </c:pt>
                <c:pt idx="14">
                  <c:v>0.59272683807043403</c:v>
                </c:pt>
                <c:pt idx="15">
                  <c:v>0.5822977477281418</c:v>
                </c:pt>
                <c:pt idx="16">
                  <c:v>0.56143956704355746</c:v>
                </c:pt>
                <c:pt idx="17">
                  <c:v>0.55101047670126524</c:v>
                </c:pt>
                <c:pt idx="18">
                  <c:v>0.54058138635897302</c:v>
                </c:pt>
                <c:pt idx="19">
                  <c:v>0.53015229601668079</c:v>
                </c:pt>
              </c:numCache>
            </c:numRef>
          </c:val>
          <c:smooth val="0"/>
          <c:extLst xmlns:c16r2="http://schemas.microsoft.com/office/drawing/2015/06/chart">
            <c:ext xmlns:c16="http://schemas.microsoft.com/office/drawing/2014/chart" uri="{C3380CC4-5D6E-409C-BE32-E72D297353CC}">
              <c16:uniqueId val="{00000000-E9AB-4C3E-960F-60D9B57D51BF}"/>
            </c:ext>
          </c:extLst>
        </c:ser>
        <c:dLbls>
          <c:showLegendKey val="0"/>
          <c:showVal val="0"/>
          <c:showCatName val="0"/>
          <c:showSerName val="0"/>
          <c:showPercent val="0"/>
          <c:showBubbleSize val="0"/>
        </c:dLbls>
        <c:marker val="1"/>
        <c:smooth val="0"/>
        <c:axId val="82790272"/>
        <c:axId val="82800640"/>
      </c:lineChart>
      <c:catAx>
        <c:axId val="82790272"/>
        <c:scaling>
          <c:orientation val="minMax"/>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Financial year</a:t>
                </a:r>
              </a:p>
            </c:rich>
          </c:tx>
          <c:layout>
            <c:manualLayout>
              <c:xMode val="edge"/>
              <c:yMode val="edge"/>
              <c:x val="0.45973549574959849"/>
              <c:y val="0.9251857570091320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2800640"/>
        <c:crosses val="autoZero"/>
        <c:auto val="1"/>
        <c:lblAlgn val="ctr"/>
        <c:lblOffset val="100"/>
        <c:noMultiLvlLbl val="0"/>
      </c:catAx>
      <c:valAx>
        <c:axId val="828006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kW peak per EV</a:t>
                </a:r>
              </a:p>
            </c:rich>
          </c:tx>
          <c:layout/>
          <c:overlay val="0"/>
          <c:spPr>
            <a:noFill/>
            <a:ln>
              <a:noFill/>
            </a:ln>
            <a:effectLst/>
          </c:sp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2790272"/>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rgb="FF7030A0"/>
  </sheetPr>
  <sheetViews>
    <sheetView zoomScale="85"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rgb="FF7030A0"/>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F52D88C9-2B0E-4BB5-A428-E00708D8842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9B39A4F3-69C7-4BE0-98D5-2461B8C6DD5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C893879D-936F-44C7-B331-E35718AE1B7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6CF1FF12-6F5B-4C47-9A47-733E9A55694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312088" cy="6084794"/>
    <xdr:graphicFrame macro="">
      <xdr:nvGraphicFramePr>
        <xdr:cNvPr id="2" name="Chart 1">
          <a:extLst>
            <a:ext uri="{FF2B5EF4-FFF2-40B4-BE49-F238E27FC236}">
              <a16:creationId xmlns:a16="http://schemas.microsoft.com/office/drawing/2014/main" xmlns="" id="{0769946E-35B4-4225-96E9-BDCB898F9C2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xmlns="" id="{868E412B-3F16-4FBE-A6E8-FB04077A6CA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twoCellAnchor>
    <xdr:from>
      <xdr:col>0</xdr:col>
      <xdr:colOff>306159</xdr:colOff>
      <xdr:row>43</xdr:row>
      <xdr:rowOff>23130</xdr:rowOff>
    </xdr:from>
    <xdr:to>
      <xdr:col>8</xdr:col>
      <xdr:colOff>394607</xdr:colOff>
      <xdr:row>73</xdr:row>
      <xdr:rowOff>149679</xdr:rowOff>
    </xdr:to>
    <xdr:graphicFrame macro="">
      <xdr:nvGraphicFramePr>
        <xdr:cNvPr id="2" name="Chart 1">
          <a:extLst>
            <a:ext uri="{FF2B5EF4-FFF2-40B4-BE49-F238E27FC236}">
              <a16:creationId xmlns:a16="http://schemas.microsoft.com/office/drawing/2014/main" xmlns="" id="{C4C85F6A-7294-49A6-A20E-B1689A0922E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54428</xdr:colOff>
      <xdr:row>43</xdr:row>
      <xdr:rowOff>131988</xdr:rowOff>
    </xdr:from>
    <xdr:to>
      <xdr:col>16</xdr:col>
      <xdr:colOff>857249</xdr:colOff>
      <xdr:row>71</xdr:row>
      <xdr:rowOff>136071</xdr:rowOff>
    </xdr:to>
    <xdr:graphicFrame macro="">
      <xdr:nvGraphicFramePr>
        <xdr:cNvPr id="3" name="Chart 2">
          <a:extLst>
            <a:ext uri="{FF2B5EF4-FFF2-40B4-BE49-F238E27FC236}">
              <a16:creationId xmlns:a16="http://schemas.microsoft.com/office/drawing/2014/main" xmlns="" id="{06B79991-8772-416C-8A11-B2A64FCC0AC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A16"/>
  <sheetViews>
    <sheetView showGridLines="0" workbookViewId="0"/>
  </sheetViews>
  <sheetFormatPr defaultRowHeight="15" x14ac:dyDescent="0.25"/>
  <cols>
    <col min="1" max="1" width="136.42578125" customWidth="1"/>
  </cols>
  <sheetData>
    <row r="2" spans="1:1" x14ac:dyDescent="0.25">
      <c r="A2" s="11" t="s">
        <v>294</v>
      </c>
    </row>
    <row r="3" spans="1:1" x14ac:dyDescent="0.25">
      <c r="A3" s="8" t="s">
        <v>295</v>
      </c>
    </row>
    <row r="4" spans="1:1" x14ac:dyDescent="0.25">
      <c r="A4" s="8" t="s">
        <v>26</v>
      </c>
    </row>
    <row r="5" spans="1:1" ht="30" x14ac:dyDescent="0.25">
      <c r="A5" s="10" t="s">
        <v>27</v>
      </c>
    </row>
    <row r="6" spans="1:1" x14ac:dyDescent="0.25">
      <c r="A6" s="10"/>
    </row>
    <row r="7" spans="1:1" x14ac:dyDescent="0.25">
      <c r="A7" s="12" t="s">
        <v>393</v>
      </c>
    </row>
    <row r="8" spans="1:1" ht="30" x14ac:dyDescent="0.25">
      <c r="A8" s="8" t="s">
        <v>296</v>
      </c>
    </row>
    <row r="9" spans="1:1" x14ac:dyDescent="0.25">
      <c r="A9" s="8" t="s">
        <v>28</v>
      </c>
    </row>
    <row r="10" spans="1:1" x14ac:dyDescent="0.25">
      <c r="A10" s="8"/>
    </row>
    <row r="11" spans="1:1" x14ac:dyDescent="0.25">
      <c r="A11" s="8"/>
    </row>
    <row r="12" spans="1:1" x14ac:dyDescent="0.25">
      <c r="A12" s="8"/>
    </row>
    <row r="13" spans="1:1" x14ac:dyDescent="0.25">
      <c r="A13" s="8"/>
    </row>
    <row r="14" spans="1:1" x14ac:dyDescent="0.25">
      <c r="A14" s="8"/>
    </row>
    <row r="15" spans="1:1" x14ac:dyDescent="0.25">
      <c r="A15" s="8"/>
    </row>
    <row r="16" spans="1:1" x14ac:dyDescent="0.25">
      <c r="A16" s="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35"/>
  <sheetViews>
    <sheetView showGridLines="0" tabSelected="1" workbookViewId="0">
      <selection activeCell="I29" sqref="I29"/>
    </sheetView>
  </sheetViews>
  <sheetFormatPr defaultColWidth="0" defaultRowHeight="15" zeroHeight="1" x14ac:dyDescent="0.25"/>
  <cols>
    <col min="1" max="1" width="63.85546875" customWidth="1"/>
    <col min="2" max="2" width="13.5703125" bestFit="1" customWidth="1"/>
    <col min="3" max="3" width="14.85546875" customWidth="1"/>
    <col min="4" max="4" width="6" style="56" customWidth="1"/>
    <col min="5" max="5" width="16.42578125" customWidth="1"/>
    <col min="6" max="6" width="15" customWidth="1"/>
    <col min="7" max="7" width="4.5703125" style="56" customWidth="1"/>
    <col min="8" max="8" width="15.85546875" customWidth="1"/>
    <col min="9" max="9" width="18.42578125" customWidth="1"/>
    <col min="10" max="10" width="17.5703125" customWidth="1"/>
    <col min="11" max="11" width="3" customWidth="1"/>
    <col min="12" max="16384" width="9.140625" hidden="1"/>
  </cols>
  <sheetData>
    <row r="1" spans="1:10" ht="12" customHeight="1" x14ac:dyDescent="0.25">
      <c r="B1" s="15"/>
      <c r="C1" s="15"/>
      <c r="D1" s="15"/>
      <c r="E1" s="15"/>
      <c r="F1" s="15"/>
      <c r="G1" s="15"/>
      <c r="H1" s="15"/>
    </row>
    <row r="2" spans="1:10" x14ac:dyDescent="0.25">
      <c r="A2" s="90"/>
      <c r="B2" s="89" t="s">
        <v>332</v>
      </c>
      <c r="C2" s="90"/>
      <c r="E2" s="89" t="s">
        <v>333</v>
      </c>
      <c r="F2" s="90"/>
      <c r="H2" s="89" t="s">
        <v>407</v>
      </c>
      <c r="I2" s="90"/>
      <c r="J2" s="90"/>
    </row>
    <row r="3" spans="1:10" x14ac:dyDescent="0.25">
      <c r="A3" s="89" t="s">
        <v>17</v>
      </c>
      <c r="B3" s="95" t="s">
        <v>29</v>
      </c>
      <c r="C3" s="95" t="s">
        <v>16</v>
      </c>
      <c r="D3" s="37"/>
      <c r="E3" s="95" t="s">
        <v>29</v>
      </c>
      <c r="F3" s="95" t="s">
        <v>16</v>
      </c>
      <c r="G3" s="37"/>
      <c r="H3" s="90"/>
      <c r="I3" s="95" t="s">
        <v>29</v>
      </c>
      <c r="J3" s="95" t="s">
        <v>16</v>
      </c>
    </row>
    <row r="4" spans="1:10" x14ac:dyDescent="0.25">
      <c r="A4" s="22" t="s">
        <v>329</v>
      </c>
      <c r="B4" s="97">
        <f>'Benefit Calcs'!D15</f>
        <v>3.6057402402706895</v>
      </c>
      <c r="C4" s="97">
        <f>'Benefit Calcs'!D53+'Benefit Calcs'!D56</f>
        <v>9.4845113937669989</v>
      </c>
      <c r="D4" s="97"/>
      <c r="E4" s="98"/>
      <c r="F4" s="22"/>
      <c r="G4" s="22"/>
      <c r="H4" s="22"/>
      <c r="I4" s="22"/>
      <c r="J4" s="22"/>
    </row>
    <row r="5" spans="1:10" x14ac:dyDescent="0.25">
      <c r="A5" s="22" t="s">
        <v>326</v>
      </c>
      <c r="B5" s="97">
        <f>'Benefit Calcs'!D19</f>
        <v>10.623547005422809</v>
      </c>
      <c r="C5" s="97">
        <f>'Benefit Calcs'!D60</f>
        <v>14.341788457320792</v>
      </c>
      <c r="D5" s="97"/>
      <c r="E5" s="98"/>
      <c r="F5" s="22"/>
      <c r="G5" s="22"/>
      <c r="H5" s="22"/>
      <c r="I5" s="22"/>
      <c r="J5" s="22"/>
    </row>
    <row r="6" spans="1:10" x14ac:dyDescent="0.25">
      <c r="A6" s="22" t="s">
        <v>327</v>
      </c>
      <c r="B6" s="97">
        <f>'Benefit Calcs'!D27</f>
        <v>46.06177549055225</v>
      </c>
      <c r="C6" s="97">
        <f>'Benefit Calcs'!D69+'Benefit Calcs'!D74+'Benefit Calcs'!D82</f>
        <v>79.840410850290567</v>
      </c>
      <c r="D6" s="97"/>
      <c r="E6" s="98"/>
      <c r="F6" s="98"/>
      <c r="G6" s="98"/>
      <c r="H6" s="22"/>
      <c r="I6" s="22"/>
      <c r="J6" s="22"/>
    </row>
    <row r="7" spans="1:10" x14ac:dyDescent="0.25">
      <c r="A7" s="22" t="s">
        <v>328</v>
      </c>
      <c r="B7" s="97">
        <f>'Benefit Calcs'!D35+'Benefit Calcs'!D39</f>
        <v>79.123238390482072</v>
      </c>
      <c r="C7" s="97">
        <f>'Benefit Calcs'!D91+'Benefit Calcs'!D95</f>
        <v>81.546458443933915</v>
      </c>
      <c r="D7" s="97"/>
      <c r="E7" s="98"/>
      <c r="F7" s="22"/>
      <c r="G7" s="22"/>
      <c r="H7" s="22"/>
      <c r="I7" s="22"/>
      <c r="J7" s="22"/>
    </row>
    <row r="8" spans="1:10" x14ac:dyDescent="0.25">
      <c r="A8" s="131"/>
      <c r="B8" s="127"/>
      <c r="C8" s="127"/>
      <c r="D8" s="97"/>
      <c r="E8" s="98"/>
      <c r="F8" s="22"/>
      <c r="G8" s="22"/>
      <c r="H8" s="22"/>
      <c r="I8" s="22"/>
      <c r="J8" s="22"/>
    </row>
    <row r="9" spans="1:10" x14ac:dyDescent="0.25">
      <c r="A9" s="28" t="s">
        <v>201</v>
      </c>
      <c r="B9" s="100">
        <f>SUM(B4:B7)</f>
        <v>139.41430112672782</v>
      </c>
      <c r="C9" s="100">
        <f>SUM(C4:C7)</f>
        <v>185.21316914531226</v>
      </c>
      <c r="D9" s="100"/>
      <c r="E9" s="98"/>
      <c r="F9" s="22"/>
      <c r="G9" s="22"/>
      <c r="H9" s="22"/>
      <c r="I9" s="22"/>
      <c r="J9" s="22"/>
    </row>
    <row r="10" spans="1:10" x14ac:dyDescent="0.25">
      <c r="A10" s="22"/>
      <c r="B10" s="22"/>
      <c r="C10" s="22"/>
      <c r="D10" s="22"/>
      <c r="E10" s="98"/>
      <c r="F10" s="22"/>
      <c r="G10" s="22"/>
      <c r="H10" s="22"/>
      <c r="I10" s="22"/>
      <c r="J10" s="22"/>
    </row>
    <row r="11" spans="1:10" x14ac:dyDescent="0.25">
      <c r="A11" s="28" t="s">
        <v>335</v>
      </c>
      <c r="B11" s="101"/>
      <c r="C11" s="101"/>
      <c r="D11" s="101"/>
      <c r="E11" s="98"/>
      <c r="F11" s="22"/>
      <c r="G11" s="22"/>
      <c r="H11" s="22"/>
      <c r="I11" s="22"/>
      <c r="J11" s="22"/>
    </row>
    <row r="12" spans="1:10" x14ac:dyDescent="0.25">
      <c r="A12" s="22" t="s">
        <v>121</v>
      </c>
      <c r="B12" s="97">
        <f>SUM('Cost Calcs'!D12:D22)</f>
        <v>20.088319910198699</v>
      </c>
      <c r="C12" s="97">
        <f>SUM('Cost Calcs'!D70:D80)</f>
        <v>20.088319910198699</v>
      </c>
      <c r="D12" s="97"/>
      <c r="E12" s="98"/>
      <c r="F12" s="22"/>
      <c r="G12" s="22"/>
      <c r="H12" s="22"/>
      <c r="I12" s="98">
        <f>NPV(Real_Discount_Rate,'Cost Calcs'!G23:K23)</f>
        <v>19.817674944572708</v>
      </c>
      <c r="J12" s="98">
        <f>NPV(Real_Discount_Rate,'Cost Calcs'!G81:K81)</f>
        <v>19.817674944572708</v>
      </c>
    </row>
    <row r="13" spans="1:10" x14ac:dyDescent="0.25">
      <c r="A13" s="22" t="s">
        <v>122</v>
      </c>
      <c r="B13" s="126"/>
      <c r="C13" s="126"/>
      <c r="D13" s="22"/>
      <c r="E13" s="97">
        <f>SUM('Cost Calcs'!D26:D36)</f>
        <v>15.472877286861353</v>
      </c>
      <c r="F13" s="97">
        <f>SUM('Cost Calcs'!D84:D94)</f>
        <v>15.472877286861353</v>
      </c>
      <c r="G13" s="97"/>
      <c r="H13" s="22"/>
      <c r="I13" s="98">
        <f>NPV(Real_Discount_Rate,'Cost Calcs'!G37:K37)</f>
        <v>2.8240214821825886</v>
      </c>
      <c r="J13" s="98">
        <f>NPV(Real_Discount_Rate,'Cost Calcs'!G95:K95)</f>
        <v>2.8240214821825886</v>
      </c>
    </row>
    <row r="14" spans="1:10" x14ac:dyDescent="0.25">
      <c r="A14" s="22" t="s">
        <v>123</v>
      </c>
      <c r="B14" s="97">
        <f ca="1">SUM('Cost Calcs'!D40:D50)</f>
        <v>15.177112941916294</v>
      </c>
      <c r="C14" s="97">
        <f ca="1">SUM('Cost Calcs'!D98:D108)</f>
        <v>15.177112941916294</v>
      </c>
      <c r="D14" s="97"/>
      <c r="E14" s="128"/>
      <c r="F14" s="126"/>
      <c r="G14" s="22"/>
      <c r="H14" s="22"/>
      <c r="I14" s="128"/>
      <c r="J14" s="128"/>
    </row>
    <row r="15" spans="1:10" x14ac:dyDescent="0.25">
      <c r="A15" s="22" t="s">
        <v>133</v>
      </c>
      <c r="B15" s="126"/>
      <c r="C15" s="97">
        <f>'Cost Calcs'!D128+'Cost Calcs'!D135</f>
        <v>8.6788997812984192</v>
      </c>
      <c r="D15" s="97"/>
      <c r="E15" s="128"/>
      <c r="F15" s="126"/>
      <c r="G15" s="22"/>
      <c r="H15" s="22"/>
      <c r="I15" s="128"/>
      <c r="J15" s="98">
        <f>NPV(Real_Discount_Rate,'Cost Calcs'!G135:K135,'Cost Calcs'!H128:L128)</f>
        <v>7.3003391384405099</v>
      </c>
    </row>
    <row r="16" spans="1:10" x14ac:dyDescent="0.25">
      <c r="A16" s="22" t="s">
        <v>134</v>
      </c>
      <c r="B16" s="126"/>
      <c r="C16" s="126"/>
      <c r="D16" s="22"/>
      <c r="E16" s="128"/>
      <c r="F16" s="97">
        <f>'Cost Calcs'!D150</f>
        <v>10.767991807472235</v>
      </c>
      <c r="G16" s="97"/>
      <c r="H16" s="22"/>
      <c r="I16" s="128"/>
      <c r="J16" s="98">
        <f>NPV(Real_Discount_Rate,'Cost Calcs'!G150:K150)</f>
        <v>1.2709936766578296</v>
      </c>
    </row>
    <row r="17" spans="1:10" x14ac:dyDescent="0.25">
      <c r="A17" s="22" t="s">
        <v>330</v>
      </c>
      <c r="B17" s="126"/>
      <c r="C17" s="126"/>
      <c r="D17" s="22"/>
      <c r="E17" s="97">
        <f>'Cost Calcs'!D54</f>
        <v>7.4187056730063166</v>
      </c>
      <c r="F17" s="97">
        <f>SUM('Cost Calcs'!D153,'Cost Calcs'!D154)</f>
        <v>9.582494827633159</v>
      </c>
      <c r="G17" s="97"/>
      <c r="H17" s="22"/>
      <c r="I17" s="98">
        <f>NPV(Real_Discount_Rate,'Cost Calcs'!G54:K54)</f>
        <v>1.4806866380965922</v>
      </c>
      <c r="J17" s="98">
        <f>NPV(Real_Discount_Rate,'Cost Calcs'!G153:K154)</f>
        <v>1.857772980283759</v>
      </c>
    </row>
    <row r="18" spans="1:10" x14ac:dyDescent="0.25">
      <c r="A18" s="22" t="s">
        <v>331</v>
      </c>
      <c r="B18" s="126"/>
      <c r="C18" s="126"/>
      <c r="D18" s="22"/>
      <c r="E18" s="97">
        <f>'Cost Calcs'!D55+'Cost Calcs'!D56</f>
        <v>9.7769417638830287</v>
      </c>
      <c r="F18" s="97">
        <f>'Cost Calcs'!D155+'Cost Calcs'!D156</f>
        <v>18.411766995014741</v>
      </c>
      <c r="G18" s="97"/>
      <c r="H18" s="22"/>
      <c r="I18" s="98">
        <f>NPV(Real_Discount_Rate,'Cost Calcs'!G55:K56)</f>
        <v>0.49084450043442174</v>
      </c>
      <c r="J18" s="98">
        <f>NPV(Real_Discount_Rate,'Cost Calcs'!H155:L156)</f>
        <v>1.6498003659439631</v>
      </c>
    </row>
    <row r="19" spans="1:10" x14ac:dyDescent="0.25">
      <c r="A19" s="22" t="s">
        <v>293</v>
      </c>
      <c r="B19" s="126"/>
      <c r="C19" s="126"/>
      <c r="D19" s="22"/>
      <c r="E19" s="97">
        <f>SUM('Cost Calcs'!D57:D60)</f>
        <v>12.436543477181617</v>
      </c>
      <c r="F19" s="97">
        <f>'Cost Calcs'!D157+'Cost Calcs'!D158+'Cost Calcs'!D159+'Cost Calcs'!D160</f>
        <v>16.360553348617731</v>
      </c>
      <c r="G19" s="97"/>
      <c r="H19" s="22"/>
      <c r="I19" s="98">
        <f>NPV(Real_Discount_Rate,'Cost Calcs'!G57:K60)</f>
        <v>0.82341586972828096</v>
      </c>
      <c r="J19" s="98">
        <f>NPV(Real_Discount_Rate,'Cost Calcs'!H157:L160)</f>
        <v>2.133936490295079</v>
      </c>
    </row>
    <row r="20" spans="1:10" s="56" customFormat="1" x14ac:dyDescent="0.25">
      <c r="A20" s="131"/>
      <c r="B20" s="127"/>
      <c r="C20" s="127"/>
      <c r="D20" s="97"/>
      <c r="E20" s="129"/>
      <c r="F20" s="130"/>
      <c r="G20" s="22"/>
      <c r="H20" s="22"/>
      <c r="I20" s="129"/>
      <c r="J20" s="129"/>
    </row>
    <row r="21" spans="1:10" s="56" customFormat="1" x14ac:dyDescent="0.25">
      <c r="A21" s="28" t="s">
        <v>366</v>
      </c>
      <c r="B21" s="100">
        <f ca="1">SUM(B11:B19)</f>
        <v>35.265432852114991</v>
      </c>
      <c r="C21" s="100">
        <f ca="1">SUM(C11:C19)</f>
        <v>43.94433263341341</v>
      </c>
      <c r="D21" s="100"/>
      <c r="E21" s="100">
        <f>SUM(E11:E19)</f>
        <v>45.105068200932315</v>
      </c>
      <c r="F21" s="100">
        <f>SUM(F11:F19)</f>
        <v>70.595684265599218</v>
      </c>
      <c r="G21" s="22"/>
      <c r="H21" s="28" t="s">
        <v>358</v>
      </c>
      <c r="I21" s="103">
        <f>I13+I17+I18+I16+I19</f>
        <v>5.6189684904418842</v>
      </c>
      <c r="J21" s="103">
        <f>J13+J17+J18+J16+J19</f>
        <v>9.7365249953632205</v>
      </c>
    </row>
    <row r="22" spans="1:10" x14ac:dyDescent="0.25">
      <c r="A22" s="22"/>
      <c r="B22" s="22"/>
      <c r="C22" s="22"/>
      <c r="D22" s="22"/>
      <c r="E22" s="22"/>
      <c r="F22" s="22"/>
      <c r="G22" s="22"/>
      <c r="H22" s="28" t="s">
        <v>359</v>
      </c>
      <c r="I22" s="103">
        <f>I12+I14+I15</f>
        <v>19.817674944572708</v>
      </c>
      <c r="J22" s="103">
        <f>J12+J14+J15</f>
        <v>27.118014083013218</v>
      </c>
    </row>
    <row r="23" spans="1:10" x14ac:dyDescent="0.25">
      <c r="A23" s="104" t="s">
        <v>357</v>
      </c>
      <c r="B23" s="105">
        <f ca="1">SUM(B12:B19)</f>
        <v>35.265432852114991</v>
      </c>
      <c r="C23" s="105">
        <f ca="1">SUM(C12:C19)</f>
        <v>43.94433263341341</v>
      </c>
      <c r="D23" s="106"/>
      <c r="E23" s="132"/>
      <c r="F23" s="132"/>
      <c r="G23" s="106"/>
      <c r="H23" s="106"/>
      <c r="I23" s="105">
        <f>SUM(I12:I19)</f>
        <v>25.436643435014588</v>
      </c>
      <c r="J23" s="107">
        <f>SUM(J12:J19)</f>
        <v>36.854539078376433</v>
      </c>
    </row>
    <row r="24" spans="1:10" x14ac:dyDescent="0.25">
      <c r="A24" s="108" t="s">
        <v>334</v>
      </c>
      <c r="B24" s="132"/>
      <c r="C24" s="132"/>
      <c r="D24" s="106"/>
      <c r="E24" s="105">
        <f>SUM(E4:E19)</f>
        <v>45.105068200932315</v>
      </c>
      <c r="F24" s="105">
        <f>SUM(F4:F19)</f>
        <v>70.595684265599218</v>
      </c>
      <c r="G24" s="105"/>
      <c r="H24" s="106"/>
      <c r="I24" s="132"/>
      <c r="J24" s="133"/>
    </row>
    <row r="25" spans="1:10" s="56" customFormat="1" x14ac:dyDescent="0.25">
      <c r="A25" s="109"/>
      <c r="B25" s="109"/>
      <c r="C25" s="109"/>
      <c r="D25" s="109"/>
      <c r="E25" s="109"/>
      <c r="F25" s="109"/>
      <c r="G25" s="109"/>
      <c r="H25" s="109"/>
      <c r="I25" s="109"/>
      <c r="J25" s="109"/>
    </row>
    <row r="26" spans="1:10" x14ac:dyDescent="0.25">
      <c r="A26" s="109"/>
      <c r="B26" s="110" t="s">
        <v>355</v>
      </c>
      <c r="C26" s="111"/>
      <c r="D26" s="109"/>
      <c r="E26" s="110" t="s">
        <v>356</v>
      </c>
      <c r="F26" s="111"/>
      <c r="G26" s="109"/>
      <c r="H26" s="109"/>
      <c r="I26" s="109"/>
      <c r="J26" s="109"/>
    </row>
    <row r="27" spans="1:10" x14ac:dyDescent="0.25">
      <c r="A27" s="112" t="s">
        <v>336</v>
      </c>
      <c r="B27" s="113">
        <f ca="1">B9-B23</f>
        <v>104.14886827461282</v>
      </c>
      <c r="C27" s="114">
        <f ca="1">C9-C23</f>
        <v>141.26883651189885</v>
      </c>
      <c r="D27" s="115"/>
      <c r="E27" s="116">
        <f ca="1">B27-E24</f>
        <v>59.043800073680508</v>
      </c>
      <c r="F27" s="117">
        <f ca="1">C27-F24</f>
        <v>70.673152246299637</v>
      </c>
      <c r="G27" s="109"/>
      <c r="H27" s="109"/>
      <c r="I27" s="109"/>
      <c r="J27" s="109"/>
    </row>
    <row r="28" spans="1:10" x14ac:dyDescent="0.25">
      <c r="A28" s="118" t="s">
        <v>168</v>
      </c>
      <c r="B28" s="119">
        <f ca="1">B9/B23</f>
        <v>3.9532848415999711</v>
      </c>
      <c r="C28" s="120">
        <f ca="1">C9/C23</f>
        <v>4.2147225374969972</v>
      </c>
      <c r="D28" s="121"/>
      <c r="E28" s="119">
        <f ca="1">B9/(B23+E24)</f>
        <v>1.7346451658265707</v>
      </c>
      <c r="F28" s="120">
        <f ca="1">C9/(C23+F24)</f>
        <v>1.6170171278096683</v>
      </c>
      <c r="G28" s="109"/>
      <c r="H28" s="109"/>
      <c r="I28" s="109"/>
      <c r="J28" s="109"/>
    </row>
    <row r="29" spans="1:10" x14ac:dyDescent="0.25">
      <c r="A29" s="118" t="s">
        <v>260</v>
      </c>
      <c r="B29" s="134"/>
      <c r="C29" s="135"/>
      <c r="D29" s="121"/>
      <c r="E29" s="119">
        <f ca="1">'Benefit Calcs'!E41/'Cost Calcs'!E63</f>
        <v>1.8825998144414404</v>
      </c>
      <c r="F29" s="120">
        <f ca="1">'Benefit Calcs'!E97/'Cost Calcs'!E163</f>
        <v>1.8692914693205387</v>
      </c>
      <c r="G29" s="109"/>
      <c r="H29" s="109"/>
      <c r="I29" s="109"/>
      <c r="J29" s="109"/>
    </row>
    <row r="30" spans="1:10" x14ac:dyDescent="0.25">
      <c r="A30" s="122" t="s">
        <v>270</v>
      </c>
      <c r="B30" s="123">
        <f ca="1">IRR('Benefit Calcs'!F45:Y45)</f>
        <v>0.28732766374885865</v>
      </c>
      <c r="C30" s="124">
        <f ca="1">IRR('Benefit Calcs'!F101:Y101)</f>
        <v>0.30640478039179087</v>
      </c>
      <c r="D30" s="125"/>
      <c r="E30" s="123">
        <f ca="1">IRR('Benefit Calcs'!F42:Y42)</f>
        <v>0.18772105441117315</v>
      </c>
      <c r="F30" s="124">
        <f ca="1">IRR('Benefit Calcs'!F98:Y98)</f>
        <v>0.19757473876220155</v>
      </c>
      <c r="G30" s="109"/>
      <c r="H30" s="109"/>
      <c r="I30" s="109"/>
      <c r="J30" s="109"/>
    </row>
    <row r="31" spans="1:10" x14ac:dyDescent="0.25">
      <c r="H31" s="56"/>
    </row>
    <row r="32" spans="1:10" hidden="1" x14ac:dyDescent="0.25">
      <c r="H32" s="56"/>
    </row>
    <row r="33" spans="8:8" hidden="1" x14ac:dyDescent="0.25">
      <c r="H33" s="56"/>
    </row>
    <row r="34" spans="8:8" hidden="1" x14ac:dyDescent="0.25">
      <c r="H34" s="56"/>
    </row>
    <row r="35" spans="8:8" hidden="1" x14ac:dyDescent="0.25">
      <c r="H35" s="56"/>
    </row>
  </sheetData>
  <mergeCells count="2">
    <mergeCell ref="B26:C26"/>
    <mergeCell ref="E26:F2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Z73"/>
  <sheetViews>
    <sheetView showGridLines="0" zoomScale="90" zoomScaleNormal="90" workbookViewId="0"/>
  </sheetViews>
  <sheetFormatPr defaultColWidth="0" defaultRowHeight="15" zeroHeight="1" x14ac:dyDescent="0.25"/>
  <cols>
    <col min="1" max="1" width="113" bestFit="1" customWidth="1"/>
    <col min="2" max="2" width="18.140625" customWidth="1"/>
    <col min="3" max="3" width="13.5703125" bestFit="1" customWidth="1"/>
    <col min="4" max="4" width="11.140625" customWidth="1"/>
    <col min="5" max="27" width="9.140625" customWidth="1"/>
    <col min="28" max="16384" width="9.140625" hidden="1"/>
  </cols>
  <sheetData>
    <row r="1" spans="1:26" x14ac:dyDescent="0.25">
      <c r="C1" s="95" t="s">
        <v>29</v>
      </c>
      <c r="D1" s="95" t="s">
        <v>16</v>
      </c>
    </row>
    <row r="2" spans="1:26" ht="18.75" x14ac:dyDescent="0.3">
      <c r="A2" s="136" t="s">
        <v>40</v>
      </c>
      <c r="B2" s="38" t="s">
        <v>9</v>
      </c>
      <c r="C2" s="137">
        <f ca="1">Summary!E27</f>
        <v>59.043800073680508</v>
      </c>
      <c r="D2" s="137">
        <f ca="1">Summary!F27</f>
        <v>70.673152246299637</v>
      </c>
      <c r="E2" s="1" t="s">
        <v>239</v>
      </c>
    </row>
    <row r="3" spans="1:26" ht="18.75" x14ac:dyDescent="0.3">
      <c r="A3" s="136" t="s">
        <v>395</v>
      </c>
      <c r="C3" s="5"/>
      <c r="E3" s="1"/>
    </row>
    <row r="4" spans="1:26" x14ac:dyDescent="0.25"/>
    <row r="5" spans="1:26" x14ac:dyDescent="0.25">
      <c r="A5" s="96" t="s">
        <v>10</v>
      </c>
      <c r="B5" s="1" t="s">
        <v>1</v>
      </c>
      <c r="D5" s="1" t="s">
        <v>25</v>
      </c>
    </row>
    <row r="6" spans="1:26" x14ac:dyDescent="0.25">
      <c r="A6" s="17" t="s">
        <v>0</v>
      </c>
      <c r="B6" s="138">
        <v>2.75E-2</v>
      </c>
      <c r="C6" t="s">
        <v>20</v>
      </c>
      <c r="D6" t="s">
        <v>297</v>
      </c>
    </row>
    <row r="7" spans="1:26" x14ac:dyDescent="0.25">
      <c r="A7" s="17" t="s">
        <v>5</v>
      </c>
      <c r="B7" s="139">
        <v>20</v>
      </c>
      <c r="C7" t="s">
        <v>23</v>
      </c>
      <c r="D7" s="2"/>
    </row>
    <row r="8" spans="1:26" x14ac:dyDescent="0.25">
      <c r="A8" s="17" t="s">
        <v>15</v>
      </c>
      <c r="B8" s="139">
        <v>16637</v>
      </c>
      <c r="C8" t="s">
        <v>12</v>
      </c>
      <c r="D8" t="s">
        <v>32</v>
      </c>
    </row>
    <row r="9" spans="1:26" x14ac:dyDescent="0.25">
      <c r="A9" s="17" t="s">
        <v>59</v>
      </c>
      <c r="B9" s="140">
        <v>3573</v>
      </c>
      <c r="C9" t="s">
        <v>60</v>
      </c>
      <c r="D9" s="22" t="s">
        <v>203</v>
      </c>
    </row>
    <row r="10" spans="1:26" x14ac:dyDescent="0.25">
      <c r="A10" s="17" t="s">
        <v>202</v>
      </c>
      <c r="B10" s="140">
        <v>1177500</v>
      </c>
      <c r="C10" t="s">
        <v>35</v>
      </c>
      <c r="D10" s="22" t="s">
        <v>149</v>
      </c>
    </row>
    <row r="11" spans="1:26" x14ac:dyDescent="0.25">
      <c r="A11" s="17" t="s">
        <v>8</v>
      </c>
      <c r="B11" s="141">
        <v>1000000</v>
      </c>
      <c r="C11" t="s">
        <v>22</v>
      </c>
      <c r="D11" t="s">
        <v>148</v>
      </c>
    </row>
    <row r="12" spans="1:26" x14ac:dyDescent="0.25">
      <c r="A12" s="17" t="s">
        <v>182</v>
      </c>
      <c r="B12" s="142">
        <f>105000000/140.54/1000</f>
        <v>747.11825814714678</v>
      </c>
      <c r="C12" t="s">
        <v>169</v>
      </c>
      <c r="D12" t="s">
        <v>177</v>
      </c>
    </row>
    <row r="13" spans="1:26" x14ac:dyDescent="0.25">
      <c r="A13" s="17" t="s">
        <v>180</v>
      </c>
      <c r="B13" s="142">
        <f>177000000/265.37/1000</f>
        <v>666.99325470098347</v>
      </c>
      <c r="C13" t="s">
        <v>169</v>
      </c>
      <c r="D13" t="s">
        <v>178</v>
      </c>
    </row>
    <row r="14" spans="1:26" x14ac:dyDescent="0.25">
      <c r="A14" s="148" t="s">
        <v>181</v>
      </c>
      <c r="B14" s="142">
        <f>(105000000+177000000)/(265.37+140.54)/1000</f>
        <v>694.73528614717554</v>
      </c>
      <c r="C14" s="91" t="s">
        <v>169</v>
      </c>
      <c r="D14" s="91" t="s">
        <v>183</v>
      </c>
      <c r="E14" s="91"/>
      <c r="F14" s="91"/>
      <c r="G14" s="91"/>
      <c r="H14" s="91"/>
      <c r="I14" s="91"/>
      <c r="J14" s="91"/>
      <c r="K14" s="91"/>
      <c r="L14" s="91"/>
      <c r="M14" s="91"/>
      <c r="N14" s="91"/>
      <c r="O14" s="91"/>
      <c r="P14" s="91"/>
      <c r="Q14" s="91"/>
      <c r="R14" s="91"/>
      <c r="S14" s="91"/>
      <c r="T14" s="91"/>
      <c r="U14" s="91"/>
      <c r="V14" s="91"/>
      <c r="W14" s="91"/>
      <c r="X14" s="91"/>
      <c r="Y14" s="91"/>
      <c r="Z14" s="91"/>
    </row>
    <row r="15" spans="1:26" hidden="1" x14ac:dyDescent="0.25">
      <c r="A15" s="13" t="s">
        <v>188</v>
      </c>
      <c r="B15" s="36">
        <v>517.68246999999997</v>
      </c>
      <c r="C15" t="s">
        <v>169</v>
      </c>
      <c r="D15" t="s">
        <v>179</v>
      </c>
    </row>
    <row r="16" spans="1:26" x14ac:dyDescent="0.25">
      <c r="B16" s="6"/>
    </row>
    <row r="17" spans="1:26" x14ac:dyDescent="0.25">
      <c r="A17" s="149" t="s">
        <v>222</v>
      </c>
      <c r="B17" s="42" t="s">
        <v>16</v>
      </c>
    </row>
    <row r="18" spans="1:26" x14ac:dyDescent="0.25">
      <c r="A18" s="150" t="s">
        <v>211</v>
      </c>
      <c r="B18" s="143">
        <v>2022</v>
      </c>
      <c r="C18" t="s">
        <v>21</v>
      </c>
    </row>
    <row r="19" spans="1:26" x14ac:dyDescent="0.25">
      <c r="A19" s="150" t="s">
        <v>212</v>
      </c>
      <c r="B19" s="141">
        <v>5</v>
      </c>
      <c r="C19" t="s">
        <v>21</v>
      </c>
    </row>
    <row r="20" spans="1:26" x14ac:dyDescent="0.25">
      <c r="A20" s="150" t="s">
        <v>242</v>
      </c>
      <c r="B20" s="144">
        <v>0.1</v>
      </c>
      <c r="C20" t="s">
        <v>20</v>
      </c>
      <c r="D20" s="17"/>
    </row>
    <row r="21" spans="1:26" s="51" customFormat="1" x14ac:dyDescent="0.25">
      <c r="A21" s="150" t="s">
        <v>277</v>
      </c>
      <c r="B21" s="144">
        <v>0.1</v>
      </c>
      <c r="C21" s="51" t="s">
        <v>199</v>
      </c>
      <c r="D21" s="17"/>
    </row>
    <row r="22" spans="1:26" x14ac:dyDescent="0.25">
      <c r="A22" s="150" t="s">
        <v>224</v>
      </c>
      <c r="B22" s="144">
        <v>0.5</v>
      </c>
      <c r="C22" t="s">
        <v>20</v>
      </c>
      <c r="D22" s="17"/>
      <c r="K22" s="9"/>
    </row>
    <row r="23" spans="1:26" x14ac:dyDescent="0.25">
      <c r="A23" s="150" t="s">
        <v>223</v>
      </c>
      <c r="B23" s="144">
        <v>0.3</v>
      </c>
      <c r="C23" t="s">
        <v>20</v>
      </c>
      <c r="D23" s="17"/>
      <c r="K23" s="9"/>
    </row>
    <row r="24" spans="1:26" x14ac:dyDescent="0.25">
      <c r="A24" s="150" t="s">
        <v>225</v>
      </c>
      <c r="B24" s="144">
        <v>1</v>
      </c>
      <c r="C24" t="s">
        <v>199</v>
      </c>
      <c r="D24" s="17"/>
      <c r="K24" s="9"/>
    </row>
    <row r="25" spans="1:26" x14ac:dyDescent="0.25">
      <c r="A25" s="151" t="s">
        <v>285</v>
      </c>
      <c r="B25" s="144">
        <v>0.24475927205712975</v>
      </c>
      <c r="C25" s="91" t="s">
        <v>20</v>
      </c>
      <c r="D25" s="148"/>
      <c r="E25" s="91"/>
      <c r="F25" s="91"/>
      <c r="G25" s="91"/>
      <c r="H25" s="91"/>
      <c r="I25" s="91"/>
      <c r="J25" s="91"/>
      <c r="K25" s="152"/>
      <c r="L25" s="91"/>
      <c r="M25" s="91"/>
      <c r="N25" s="91"/>
      <c r="O25" s="91"/>
      <c r="P25" s="91"/>
      <c r="Q25" s="91"/>
      <c r="R25" s="91"/>
      <c r="S25" s="91"/>
      <c r="T25" s="91"/>
      <c r="U25" s="91"/>
      <c r="V25" s="91"/>
      <c r="W25" s="91"/>
      <c r="X25" s="91"/>
      <c r="Y25" s="91"/>
      <c r="Z25" s="91"/>
    </row>
    <row r="26" spans="1:26" x14ac:dyDescent="0.25">
      <c r="A26" s="33" t="s">
        <v>170</v>
      </c>
      <c r="D26" s="17"/>
    </row>
    <row r="27" spans="1:26" x14ac:dyDescent="0.25">
      <c r="A27" s="1" t="s">
        <v>266</v>
      </c>
      <c r="D27" s="17"/>
    </row>
    <row r="28" spans="1:26" x14ac:dyDescent="0.25">
      <c r="A28" s="96" t="s">
        <v>325</v>
      </c>
    </row>
    <row r="29" spans="1:26" x14ac:dyDescent="0.25">
      <c r="A29" s="17" t="s">
        <v>248</v>
      </c>
      <c r="B29" s="139">
        <v>0.2</v>
      </c>
      <c r="C29" t="s">
        <v>34</v>
      </c>
      <c r="D29" s="22" t="s">
        <v>156</v>
      </c>
    </row>
    <row r="30" spans="1:26" x14ac:dyDescent="0.25">
      <c r="A30" s="17" t="s">
        <v>370</v>
      </c>
      <c r="B30" s="145">
        <v>2.9999999999999997E-4</v>
      </c>
      <c r="C30" t="s">
        <v>20</v>
      </c>
      <c r="D30" s="22" t="s">
        <v>377</v>
      </c>
      <c r="E30" s="2"/>
    </row>
    <row r="31" spans="1:26" x14ac:dyDescent="0.25">
      <c r="A31" s="17" t="s">
        <v>371</v>
      </c>
      <c r="B31" s="146">
        <v>0.25</v>
      </c>
      <c r="C31" t="s">
        <v>20</v>
      </c>
      <c r="D31" t="s">
        <v>155</v>
      </c>
      <c r="E31" s="2"/>
    </row>
    <row r="32" spans="1:26" x14ac:dyDescent="0.25">
      <c r="A32" s="17" t="s">
        <v>372</v>
      </c>
      <c r="B32" s="141">
        <v>2</v>
      </c>
      <c r="C32" t="s">
        <v>21</v>
      </c>
      <c r="D32" s="22"/>
      <c r="E32" s="2"/>
    </row>
    <row r="33" spans="1:26" x14ac:dyDescent="0.25">
      <c r="A33" s="17" t="s">
        <v>373</v>
      </c>
      <c r="B33" s="146">
        <v>0.5</v>
      </c>
      <c r="C33" t="s">
        <v>20</v>
      </c>
      <c r="D33" s="22" t="s">
        <v>154</v>
      </c>
      <c r="E33" s="2"/>
    </row>
    <row r="34" spans="1:26" x14ac:dyDescent="0.25">
      <c r="A34" s="17" t="s">
        <v>55</v>
      </c>
      <c r="B34" s="141">
        <v>3</v>
      </c>
      <c r="C34" t="s">
        <v>21</v>
      </c>
      <c r="D34" s="22"/>
      <c r="E34" s="2"/>
    </row>
    <row r="35" spans="1:26" x14ac:dyDescent="0.25">
      <c r="A35" s="17" t="s">
        <v>243</v>
      </c>
      <c r="B35" s="141">
        <v>1200</v>
      </c>
      <c r="C35" t="s">
        <v>244</v>
      </c>
      <c r="D35" s="22" t="s">
        <v>245</v>
      </c>
      <c r="E35" s="2"/>
    </row>
    <row r="36" spans="1:26" x14ac:dyDescent="0.25">
      <c r="A36" s="17" t="s">
        <v>252</v>
      </c>
      <c r="B36" s="147">
        <v>2.5000000000000001E-2</v>
      </c>
      <c r="C36" t="s">
        <v>20</v>
      </c>
      <c r="D36" s="17" t="s">
        <v>251</v>
      </c>
    </row>
    <row r="37" spans="1:26" x14ac:dyDescent="0.25">
      <c r="A37" s="17" t="s">
        <v>374</v>
      </c>
      <c r="B37" s="144">
        <v>0.1</v>
      </c>
      <c r="C37" t="s">
        <v>20</v>
      </c>
    </row>
    <row r="38" spans="1:26" x14ac:dyDescent="0.25">
      <c r="A38" s="17" t="s">
        <v>375</v>
      </c>
      <c r="B38" s="144">
        <v>0.5</v>
      </c>
      <c r="C38" t="s">
        <v>20</v>
      </c>
    </row>
    <row r="39" spans="1:26" x14ac:dyDescent="0.25">
      <c r="A39" s="148" t="s">
        <v>249</v>
      </c>
      <c r="B39" s="141">
        <v>2</v>
      </c>
      <c r="C39" s="91" t="s">
        <v>21</v>
      </c>
      <c r="D39" s="102"/>
      <c r="E39" s="153"/>
      <c r="F39" s="91"/>
      <c r="G39" s="91"/>
      <c r="H39" s="91"/>
      <c r="I39" s="91"/>
      <c r="J39" s="91"/>
      <c r="K39" s="91"/>
      <c r="L39" s="91"/>
      <c r="M39" s="91"/>
      <c r="N39" s="91"/>
      <c r="O39" s="91"/>
      <c r="P39" s="91"/>
      <c r="Q39" s="91"/>
      <c r="R39" s="91"/>
      <c r="S39" s="91"/>
      <c r="T39" s="91"/>
      <c r="U39" s="91"/>
      <c r="V39" s="91"/>
      <c r="W39" s="91"/>
      <c r="X39" s="91"/>
      <c r="Y39" s="91"/>
      <c r="Z39" s="91"/>
    </row>
    <row r="40" spans="1:26" x14ac:dyDescent="0.25">
      <c r="B40" t="s">
        <v>14</v>
      </c>
      <c r="C40" t="s">
        <v>14</v>
      </c>
      <c r="D40" t="s">
        <v>14</v>
      </c>
    </row>
    <row r="41" spans="1:26" x14ac:dyDescent="0.25">
      <c r="A41" s="96" t="s">
        <v>326</v>
      </c>
    </row>
    <row r="42" spans="1:26" x14ac:dyDescent="0.25">
      <c r="A42" s="17" t="s">
        <v>376</v>
      </c>
      <c r="B42" s="139">
        <v>3</v>
      </c>
      <c r="C42" t="s">
        <v>21</v>
      </c>
      <c r="D42" t="s">
        <v>298</v>
      </c>
    </row>
    <row r="43" spans="1:26" x14ac:dyDescent="0.25">
      <c r="A43" s="17" t="s">
        <v>272</v>
      </c>
      <c r="B43" s="139">
        <v>12</v>
      </c>
      <c r="C43" t="s">
        <v>19</v>
      </c>
      <c r="D43" t="s">
        <v>390</v>
      </c>
    </row>
    <row r="44" spans="1:26" s="51" customFormat="1" x14ac:dyDescent="0.25">
      <c r="A44" s="17" t="s">
        <v>273</v>
      </c>
      <c r="B44" s="139">
        <v>1</v>
      </c>
      <c r="C44" s="51" t="s">
        <v>21</v>
      </c>
      <c r="D44" s="51" t="s">
        <v>274</v>
      </c>
    </row>
    <row r="45" spans="1:26" x14ac:dyDescent="0.25">
      <c r="A45" s="109" t="s">
        <v>379</v>
      </c>
      <c r="B45" s="146">
        <v>0.35</v>
      </c>
      <c r="C45" t="s">
        <v>199</v>
      </c>
      <c r="D45" t="s">
        <v>200</v>
      </c>
    </row>
    <row r="46" spans="1:26" s="51" customFormat="1" x14ac:dyDescent="0.25">
      <c r="A46" s="156" t="s">
        <v>378</v>
      </c>
      <c r="B46" s="139">
        <v>3</v>
      </c>
      <c r="C46" s="91" t="s">
        <v>23</v>
      </c>
      <c r="D46" s="91"/>
      <c r="E46" s="91"/>
      <c r="F46" s="91"/>
      <c r="G46" s="91"/>
      <c r="H46" s="91"/>
      <c r="I46" s="91"/>
      <c r="J46" s="91"/>
      <c r="K46" s="91"/>
      <c r="L46" s="91"/>
      <c r="M46" s="91"/>
      <c r="N46" s="91"/>
      <c r="O46" s="91"/>
      <c r="P46" s="91"/>
      <c r="Q46" s="91"/>
      <c r="R46" s="91"/>
      <c r="S46" s="91"/>
      <c r="T46" s="91"/>
      <c r="U46" s="91"/>
      <c r="V46" s="91"/>
      <c r="W46" s="91"/>
      <c r="X46" s="91"/>
      <c r="Y46" s="91"/>
      <c r="Z46" s="91"/>
    </row>
    <row r="47" spans="1:26" x14ac:dyDescent="0.25">
      <c r="A47" s="17"/>
    </row>
    <row r="48" spans="1:26" x14ac:dyDescent="0.25">
      <c r="A48" s="96" t="s">
        <v>327</v>
      </c>
    </row>
    <row r="49" spans="1:26" x14ac:dyDescent="0.25">
      <c r="A49" s="154" t="s">
        <v>37</v>
      </c>
    </row>
    <row r="50" spans="1:26" x14ac:dyDescent="0.25">
      <c r="A50" s="109" t="s">
        <v>161</v>
      </c>
      <c r="B50" s="157">
        <v>0.69</v>
      </c>
      <c r="C50" t="s">
        <v>36</v>
      </c>
      <c r="D50" t="s">
        <v>413</v>
      </c>
    </row>
    <row r="51" spans="1:26" x14ac:dyDescent="0.25">
      <c r="A51" s="109" t="s">
        <v>382</v>
      </c>
      <c r="B51" s="146">
        <v>0.3</v>
      </c>
      <c r="C51" t="s">
        <v>20</v>
      </c>
      <c r="D51" t="s">
        <v>200</v>
      </c>
    </row>
    <row r="52" spans="1:26" s="51" customFormat="1" x14ac:dyDescent="0.25">
      <c r="A52" s="109" t="s">
        <v>383</v>
      </c>
      <c r="B52" s="158">
        <v>1</v>
      </c>
      <c r="C52" s="51" t="s">
        <v>414</v>
      </c>
      <c r="D52" s="56" t="s">
        <v>411</v>
      </c>
    </row>
    <row r="53" spans="1:26" x14ac:dyDescent="0.25">
      <c r="A53" s="109" t="s">
        <v>384</v>
      </c>
      <c r="B53" s="143">
        <v>2</v>
      </c>
      <c r="C53" t="s">
        <v>21</v>
      </c>
    </row>
    <row r="54" spans="1:26" x14ac:dyDescent="0.25">
      <c r="A54" s="109" t="s">
        <v>385</v>
      </c>
      <c r="B54" s="139">
        <v>2</v>
      </c>
      <c r="C54" t="s">
        <v>21</v>
      </c>
    </row>
    <row r="55" spans="1:26" x14ac:dyDescent="0.25">
      <c r="A55" s="109" t="s">
        <v>386</v>
      </c>
      <c r="B55" s="139">
        <v>3</v>
      </c>
      <c r="C55" t="s">
        <v>21</v>
      </c>
    </row>
    <row r="56" spans="1:26" x14ac:dyDescent="0.25">
      <c r="A56" s="154" t="s">
        <v>165</v>
      </c>
      <c r="B56" s="146">
        <v>0.2</v>
      </c>
      <c r="C56" t="s">
        <v>20</v>
      </c>
      <c r="D56" t="s">
        <v>380</v>
      </c>
    </row>
    <row r="57" spans="1:26" x14ac:dyDescent="0.25">
      <c r="A57" s="109" t="s">
        <v>299</v>
      </c>
      <c r="B57" s="146">
        <v>0.2</v>
      </c>
      <c r="C57" t="s">
        <v>20</v>
      </c>
      <c r="D57" t="s">
        <v>166</v>
      </c>
    </row>
    <row r="58" spans="1:26" x14ac:dyDescent="0.25">
      <c r="A58" s="154" t="s">
        <v>164</v>
      </c>
      <c r="B58" s="146">
        <v>0.2</v>
      </c>
      <c r="C58" t="s">
        <v>20</v>
      </c>
      <c r="D58" t="s">
        <v>381</v>
      </c>
    </row>
    <row r="59" spans="1:26" x14ac:dyDescent="0.25">
      <c r="A59" s="156" t="s">
        <v>300</v>
      </c>
      <c r="B59" s="146">
        <v>0.9</v>
      </c>
      <c r="C59" s="91" t="s">
        <v>20</v>
      </c>
      <c r="D59" s="91" t="s">
        <v>189</v>
      </c>
      <c r="E59" s="91"/>
      <c r="F59" s="91"/>
      <c r="G59" s="91"/>
      <c r="H59" s="91"/>
      <c r="I59" s="91"/>
      <c r="J59" s="91"/>
      <c r="K59" s="91"/>
      <c r="L59" s="91"/>
      <c r="M59" s="91"/>
      <c r="N59" s="91"/>
      <c r="O59" s="91"/>
      <c r="P59" s="91"/>
      <c r="Q59" s="91"/>
      <c r="R59" s="91"/>
      <c r="S59" s="91"/>
      <c r="T59" s="91"/>
      <c r="U59" s="91"/>
      <c r="V59" s="91"/>
      <c r="W59" s="91"/>
      <c r="X59" s="91"/>
      <c r="Y59" s="91"/>
      <c r="Z59" s="91"/>
    </row>
    <row r="60" spans="1:26" x14ac:dyDescent="0.25">
      <c r="A60" s="17"/>
    </row>
    <row r="61" spans="1:26" x14ac:dyDescent="0.25">
      <c r="A61" s="96" t="s">
        <v>328</v>
      </c>
    </row>
    <row r="62" spans="1:26" x14ac:dyDescent="0.25">
      <c r="A62" s="155" t="s">
        <v>150</v>
      </c>
      <c r="B62" s="140">
        <v>2500</v>
      </c>
      <c r="C62" t="s">
        <v>147</v>
      </c>
      <c r="D62" t="s">
        <v>196</v>
      </c>
    </row>
    <row r="63" spans="1:26" x14ac:dyDescent="0.25">
      <c r="A63" s="155" t="s">
        <v>191</v>
      </c>
      <c r="B63" s="146">
        <v>0.1</v>
      </c>
      <c r="D63" t="s">
        <v>192</v>
      </c>
    </row>
    <row r="64" spans="1:26" x14ac:dyDescent="0.25">
      <c r="A64" s="155" t="s">
        <v>136</v>
      </c>
      <c r="B64" s="139">
        <v>1</v>
      </c>
      <c r="C64" t="s">
        <v>57</v>
      </c>
      <c r="D64" t="s">
        <v>193</v>
      </c>
    </row>
    <row r="65" spans="1:26" x14ac:dyDescent="0.25">
      <c r="A65" s="17" t="s">
        <v>30</v>
      </c>
      <c r="B65" s="139">
        <v>2</v>
      </c>
      <c r="C65" t="s">
        <v>21</v>
      </c>
      <c r="D65" t="s">
        <v>151</v>
      </c>
    </row>
    <row r="66" spans="1:26" x14ac:dyDescent="0.25">
      <c r="A66" s="155" t="s">
        <v>301</v>
      </c>
      <c r="B66" s="140">
        <v>2500</v>
      </c>
      <c r="C66" t="s">
        <v>147</v>
      </c>
      <c r="D66" t="s">
        <v>197</v>
      </c>
    </row>
    <row r="67" spans="1:26" x14ac:dyDescent="0.25">
      <c r="A67" s="155" t="s">
        <v>302</v>
      </c>
      <c r="B67" s="140">
        <v>1000</v>
      </c>
      <c r="C67" t="s">
        <v>147</v>
      </c>
      <c r="D67" t="s">
        <v>195</v>
      </c>
    </row>
    <row r="68" spans="1:26" x14ac:dyDescent="0.25">
      <c r="A68" s="155" t="s">
        <v>391</v>
      </c>
      <c r="B68" s="140">
        <v>1215</v>
      </c>
      <c r="C68" t="s">
        <v>146</v>
      </c>
      <c r="D68" t="s">
        <v>387</v>
      </c>
    </row>
    <row r="69" spans="1:26" x14ac:dyDescent="0.25">
      <c r="A69" s="155" t="s">
        <v>138</v>
      </c>
      <c r="B69" s="139">
        <v>11</v>
      </c>
      <c r="C69" t="s">
        <v>139</v>
      </c>
      <c r="D69" t="s">
        <v>152</v>
      </c>
    </row>
    <row r="70" spans="1:26" x14ac:dyDescent="0.25">
      <c r="A70" s="155" t="s">
        <v>388</v>
      </c>
      <c r="B70" s="139">
        <v>2</v>
      </c>
      <c r="C70" t="s">
        <v>21</v>
      </c>
      <c r="D70" t="s">
        <v>151</v>
      </c>
    </row>
    <row r="71" spans="1:26" x14ac:dyDescent="0.25">
      <c r="A71" s="155" t="s">
        <v>237</v>
      </c>
      <c r="B71" s="139">
        <v>5</v>
      </c>
      <c r="C71" t="s">
        <v>57</v>
      </c>
      <c r="D71" t="s">
        <v>392</v>
      </c>
    </row>
    <row r="72" spans="1:26" x14ac:dyDescent="0.25">
      <c r="A72" s="159" t="s">
        <v>389</v>
      </c>
      <c r="B72" s="146">
        <v>0.25</v>
      </c>
      <c r="C72" s="91" t="s">
        <v>20</v>
      </c>
      <c r="D72" s="91" t="s">
        <v>229</v>
      </c>
      <c r="E72" s="91"/>
      <c r="F72" s="91"/>
      <c r="G72" s="91"/>
      <c r="H72" s="91"/>
      <c r="I72" s="91"/>
      <c r="J72" s="91"/>
      <c r="K72" s="91"/>
      <c r="L72" s="91"/>
      <c r="M72" s="91"/>
      <c r="N72" s="91"/>
      <c r="O72" s="91"/>
      <c r="P72" s="91"/>
      <c r="Q72" s="91"/>
      <c r="R72" s="91"/>
      <c r="S72" s="91"/>
      <c r="T72" s="91"/>
      <c r="U72" s="91"/>
      <c r="V72" s="91"/>
      <c r="W72" s="91"/>
      <c r="X72" s="91"/>
      <c r="Y72" s="91"/>
      <c r="Z72" s="91"/>
    </row>
    <row r="73" spans="1:26" x14ac:dyDescent="0.25"/>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R77"/>
  <sheetViews>
    <sheetView showGridLines="0" zoomScale="80" zoomScaleNormal="80" workbookViewId="0">
      <selection activeCell="E9" sqref="E9:E10"/>
    </sheetView>
  </sheetViews>
  <sheetFormatPr defaultRowHeight="15" x14ac:dyDescent="0.25"/>
  <cols>
    <col min="2" max="2" width="46.85546875" customWidth="1"/>
    <col min="3" max="3" width="27.85546875" customWidth="1"/>
    <col min="4" max="4" width="37.7109375" customWidth="1"/>
    <col min="5" max="5" width="13.42578125" customWidth="1"/>
    <col min="6" max="6" width="11" customWidth="1"/>
    <col min="7" max="7" width="14.85546875" customWidth="1"/>
    <col min="8" max="8" width="14" customWidth="1"/>
    <col min="9" max="9" width="14.140625" customWidth="1"/>
    <col min="10" max="10" width="13" customWidth="1"/>
    <col min="13" max="13" width="10.42578125" bestFit="1" customWidth="1"/>
    <col min="14" max="14" width="38.5703125" customWidth="1"/>
    <col min="15" max="15" width="31.85546875" customWidth="1"/>
    <col min="16" max="16" width="36.7109375" customWidth="1"/>
    <col min="17" max="17" width="32.42578125" customWidth="1"/>
    <col min="18" max="18" width="32.140625" customWidth="1"/>
  </cols>
  <sheetData>
    <row r="1" spans="1:18" s="56" customFormat="1" ht="18.75" x14ac:dyDescent="0.3">
      <c r="A1" s="136" t="s">
        <v>318</v>
      </c>
      <c r="B1" s="90"/>
      <c r="C1" s="90"/>
      <c r="D1" s="90"/>
      <c r="E1" s="90"/>
      <c r="F1" s="90"/>
      <c r="G1" s="90"/>
      <c r="H1" s="90"/>
      <c r="I1" s="90"/>
      <c r="J1" s="90"/>
    </row>
    <row r="2" spans="1:18" ht="15.75" x14ac:dyDescent="0.25">
      <c r="B2" s="160" t="s">
        <v>316</v>
      </c>
      <c r="C2" s="161">
        <v>0.5</v>
      </c>
      <c r="N2" s="62"/>
      <c r="O2" s="62"/>
      <c r="P2" s="62"/>
      <c r="Q2" s="62"/>
      <c r="R2" s="62"/>
    </row>
    <row r="3" spans="1:18" ht="15.75" x14ac:dyDescent="0.25">
      <c r="B3" s="160" t="s">
        <v>317</v>
      </c>
      <c r="C3" s="162">
        <v>7</v>
      </c>
      <c r="N3" s="62"/>
      <c r="O3" s="62"/>
      <c r="P3" s="62"/>
      <c r="Q3" s="62"/>
      <c r="R3" s="62"/>
    </row>
    <row r="4" spans="1:18" s="56" customFormat="1" ht="29.45" customHeight="1" x14ac:dyDescent="0.25">
      <c r="B4" s="63"/>
      <c r="C4" s="57"/>
      <c r="N4" s="62"/>
      <c r="O4" s="62"/>
      <c r="P4" s="62"/>
      <c r="Q4" s="62"/>
      <c r="R4" s="62"/>
    </row>
    <row r="5" spans="1:18" ht="18.75" x14ac:dyDescent="0.3">
      <c r="A5" s="16" t="s">
        <v>396</v>
      </c>
      <c r="N5" s="62"/>
      <c r="O5" s="62"/>
      <c r="P5" s="62"/>
      <c r="Q5" s="62"/>
      <c r="R5" s="62"/>
    </row>
    <row r="6" spans="1:18" ht="22.5" customHeight="1" x14ac:dyDescent="0.25">
      <c r="B6" s="85" t="s">
        <v>71</v>
      </c>
      <c r="C6" s="81" t="s">
        <v>72</v>
      </c>
      <c r="D6" s="81" t="s">
        <v>73</v>
      </c>
      <c r="E6" s="85" t="s">
        <v>74</v>
      </c>
      <c r="F6" s="81" t="s">
        <v>75</v>
      </c>
      <c r="G6" s="85" t="s">
        <v>99</v>
      </c>
      <c r="H6" s="85" t="s">
        <v>104</v>
      </c>
      <c r="I6" s="81" t="s">
        <v>76</v>
      </c>
      <c r="J6" s="85" t="s">
        <v>77</v>
      </c>
      <c r="N6" s="62"/>
      <c r="O6" s="62"/>
      <c r="P6" s="62"/>
      <c r="Q6" s="62"/>
      <c r="R6" s="62"/>
    </row>
    <row r="7" spans="1:18" x14ac:dyDescent="0.25">
      <c r="B7" s="86"/>
      <c r="C7" s="81"/>
      <c r="D7" s="81"/>
      <c r="E7" s="166"/>
      <c r="F7" s="85"/>
      <c r="G7" s="166"/>
      <c r="H7" s="166"/>
      <c r="I7" s="85"/>
      <c r="J7" s="166"/>
      <c r="N7" s="62"/>
      <c r="O7" s="62"/>
      <c r="P7" s="62"/>
      <c r="Q7" s="62"/>
      <c r="R7" s="62"/>
    </row>
    <row r="8" spans="1:18" x14ac:dyDescent="0.25">
      <c r="B8" s="23" t="s">
        <v>87</v>
      </c>
      <c r="C8" s="84" t="s">
        <v>78</v>
      </c>
      <c r="D8" s="163" t="s">
        <v>93</v>
      </c>
      <c r="E8" s="171">
        <v>18</v>
      </c>
      <c r="F8" s="171">
        <v>2021</v>
      </c>
      <c r="G8" s="171">
        <f t="shared" ref="G8:G21" si="0">E8/12</f>
        <v>1.5</v>
      </c>
      <c r="H8" s="171">
        <f t="shared" ref="H8:H21" si="1">F8+G8</f>
        <v>2022.5</v>
      </c>
      <c r="I8" s="172">
        <v>2112063</v>
      </c>
      <c r="J8" s="172">
        <v>200000</v>
      </c>
      <c r="M8" s="32"/>
      <c r="N8" s="62"/>
      <c r="O8" s="62"/>
      <c r="P8" s="62"/>
      <c r="Q8" s="62"/>
      <c r="R8" s="62"/>
    </row>
    <row r="9" spans="1:18" x14ac:dyDescent="0.25">
      <c r="B9" s="82" t="s">
        <v>79</v>
      </c>
      <c r="C9" s="84"/>
      <c r="D9" s="164" t="s">
        <v>64</v>
      </c>
      <c r="E9" s="173">
        <v>54</v>
      </c>
      <c r="F9" s="173">
        <v>2021</v>
      </c>
      <c r="G9" s="173">
        <f>E9/12</f>
        <v>4.5</v>
      </c>
      <c r="H9" s="173">
        <f>F9+G9</f>
        <v>2025.5</v>
      </c>
      <c r="I9" s="174">
        <v>5079840</v>
      </c>
      <c r="J9" s="174">
        <v>124000</v>
      </c>
      <c r="N9" s="62"/>
      <c r="O9" s="62"/>
      <c r="P9" s="62"/>
      <c r="Q9" s="62"/>
      <c r="R9" s="62"/>
    </row>
    <row r="10" spans="1:18" x14ac:dyDescent="0.25">
      <c r="B10" s="83"/>
      <c r="C10" s="84"/>
      <c r="D10" s="165"/>
      <c r="E10" s="173"/>
      <c r="F10" s="173"/>
      <c r="G10" s="173"/>
      <c r="H10" s="173"/>
      <c r="I10" s="174"/>
      <c r="J10" s="174"/>
      <c r="N10" s="62"/>
      <c r="O10" s="62"/>
      <c r="P10" s="62"/>
      <c r="Q10" s="62"/>
      <c r="R10" s="62"/>
    </row>
    <row r="11" spans="1:18" x14ac:dyDescent="0.25">
      <c r="B11" s="23" t="s">
        <v>88</v>
      </c>
      <c r="C11" s="84"/>
      <c r="D11" s="163" t="s">
        <v>94</v>
      </c>
      <c r="E11" s="171">
        <v>12</v>
      </c>
      <c r="F11" s="171">
        <v>2022</v>
      </c>
      <c r="G11" s="171">
        <f t="shared" si="0"/>
        <v>1</v>
      </c>
      <c r="H11" s="171">
        <f t="shared" si="1"/>
        <v>2023</v>
      </c>
      <c r="I11" s="172">
        <v>1191840</v>
      </c>
      <c r="J11" s="172">
        <v>166000</v>
      </c>
      <c r="N11" s="62"/>
      <c r="O11" s="62"/>
      <c r="P11" s="62"/>
      <c r="Q11" s="62"/>
      <c r="R11" s="62"/>
    </row>
    <row r="12" spans="1:18" x14ac:dyDescent="0.25">
      <c r="B12" s="23" t="s">
        <v>89</v>
      </c>
      <c r="C12" s="84" t="s">
        <v>81</v>
      </c>
      <c r="D12" s="163" t="s">
        <v>65</v>
      </c>
      <c r="E12" s="171">
        <v>12</v>
      </c>
      <c r="F12" s="171">
        <v>2021</v>
      </c>
      <c r="G12" s="171">
        <f t="shared" si="0"/>
        <v>1</v>
      </c>
      <c r="H12" s="171">
        <f t="shared" si="1"/>
        <v>2022</v>
      </c>
      <c r="I12" s="172">
        <v>2069720</v>
      </c>
      <c r="J12" s="172">
        <v>200000</v>
      </c>
      <c r="N12" s="62"/>
      <c r="O12" s="62"/>
      <c r="P12" s="62"/>
      <c r="Q12" s="62"/>
      <c r="R12" s="62"/>
    </row>
    <row r="13" spans="1:18" x14ac:dyDescent="0.25">
      <c r="B13" s="23" t="s">
        <v>80</v>
      </c>
      <c r="C13" s="84"/>
      <c r="D13" s="163" t="s">
        <v>66</v>
      </c>
      <c r="E13" s="171">
        <v>12</v>
      </c>
      <c r="F13" s="171">
        <v>2022</v>
      </c>
      <c r="G13" s="171">
        <f t="shared" si="0"/>
        <v>1</v>
      </c>
      <c r="H13" s="171">
        <f t="shared" si="1"/>
        <v>2023</v>
      </c>
      <c r="I13" s="172">
        <v>1081860</v>
      </c>
      <c r="J13" s="172">
        <v>50000</v>
      </c>
      <c r="N13" s="62"/>
      <c r="O13" s="62"/>
      <c r="P13" s="62"/>
      <c r="Q13" s="62"/>
      <c r="R13" s="62"/>
    </row>
    <row r="14" spans="1:18" x14ac:dyDescent="0.25">
      <c r="B14" s="23" t="s">
        <v>90</v>
      </c>
      <c r="C14" s="84"/>
      <c r="D14" s="163" t="s">
        <v>319</v>
      </c>
      <c r="E14" s="171">
        <v>18</v>
      </c>
      <c r="F14" s="171">
        <v>2021</v>
      </c>
      <c r="G14" s="171">
        <f t="shared" si="0"/>
        <v>1.5</v>
      </c>
      <c r="H14" s="171">
        <f t="shared" si="1"/>
        <v>2022.5</v>
      </c>
      <c r="I14" s="172">
        <v>3167424</v>
      </c>
      <c r="J14" s="172">
        <v>0</v>
      </c>
      <c r="N14" s="62"/>
      <c r="O14" s="62"/>
      <c r="P14" s="62"/>
      <c r="Q14" s="62"/>
      <c r="R14" s="62"/>
    </row>
    <row r="15" spans="1:18" x14ac:dyDescent="0.25">
      <c r="B15" s="82" t="s">
        <v>83</v>
      </c>
      <c r="C15" s="84" t="s">
        <v>82</v>
      </c>
      <c r="D15" s="164" t="s">
        <v>67</v>
      </c>
      <c r="E15" s="173">
        <v>12</v>
      </c>
      <c r="F15" s="173">
        <v>2022</v>
      </c>
      <c r="G15" s="173">
        <f>E15/12</f>
        <v>1</v>
      </c>
      <c r="H15" s="173">
        <f>F15+G15</f>
        <v>2023</v>
      </c>
      <c r="I15" s="174">
        <v>2169700</v>
      </c>
      <c r="J15" s="174">
        <v>210000</v>
      </c>
      <c r="N15" s="62"/>
      <c r="O15" s="62"/>
      <c r="P15" s="62"/>
      <c r="Q15" s="62"/>
      <c r="R15" s="62"/>
    </row>
    <row r="16" spans="1:18" x14ac:dyDescent="0.25">
      <c r="B16" s="83"/>
      <c r="C16" s="84"/>
      <c r="D16" s="165"/>
      <c r="E16" s="173"/>
      <c r="F16" s="173"/>
      <c r="G16" s="173"/>
      <c r="H16" s="173"/>
      <c r="I16" s="174"/>
      <c r="J16" s="174"/>
      <c r="N16" s="62"/>
      <c r="O16" s="62"/>
      <c r="P16" s="62"/>
      <c r="Q16" s="62"/>
      <c r="R16" s="62"/>
    </row>
    <row r="17" spans="1:18" x14ac:dyDescent="0.25">
      <c r="B17" s="23" t="s">
        <v>84</v>
      </c>
      <c r="C17" s="84"/>
      <c r="D17" s="163" t="s">
        <v>68</v>
      </c>
      <c r="E17" s="171">
        <v>12</v>
      </c>
      <c r="F17" s="171">
        <v>2023</v>
      </c>
      <c r="G17" s="171">
        <f t="shared" si="0"/>
        <v>1</v>
      </c>
      <c r="H17" s="171">
        <f t="shared" si="1"/>
        <v>2024</v>
      </c>
      <c r="I17" s="172">
        <v>965880</v>
      </c>
      <c r="J17" s="172">
        <v>74000</v>
      </c>
      <c r="N17" s="62"/>
      <c r="O17" s="62"/>
      <c r="P17" s="62"/>
      <c r="Q17" s="62"/>
      <c r="R17" s="62"/>
    </row>
    <row r="18" spans="1:18" x14ac:dyDescent="0.25">
      <c r="A18" t="s">
        <v>14</v>
      </c>
      <c r="B18" s="82" t="s">
        <v>85</v>
      </c>
      <c r="C18" s="84"/>
      <c r="D18" s="164" t="s">
        <v>69</v>
      </c>
      <c r="E18" s="173">
        <v>12</v>
      </c>
      <c r="F18" s="173">
        <v>2023</v>
      </c>
      <c r="G18" s="173">
        <f>E18/12</f>
        <v>1</v>
      </c>
      <c r="H18" s="173">
        <f>F18+G18</f>
        <v>2024</v>
      </c>
      <c r="I18" s="174">
        <v>1070262</v>
      </c>
      <c r="J18" s="174">
        <v>0</v>
      </c>
      <c r="N18" s="62"/>
      <c r="O18" s="62"/>
      <c r="P18" s="62"/>
      <c r="Q18" s="62"/>
      <c r="R18" s="62"/>
    </row>
    <row r="19" spans="1:18" x14ac:dyDescent="0.25">
      <c r="B19" s="83"/>
      <c r="C19" s="84"/>
      <c r="D19" s="165"/>
      <c r="E19" s="173"/>
      <c r="F19" s="173"/>
      <c r="G19" s="173"/>
      <c r="H19" s="173"/>
      <c r="I19" s="174"/>
      <c r="J19" s="174"/>
      <c r="N19" s="62"/>
      <c r="O19" s="62"/>
      <c r="P19" s="62"/>
      <c r="Q19" s="62"/>
      <c r="R19" s="62"/>
    </row>
    <row r="20" spans="1:18" x14ac:dyDescent="0.25">
      <c r="B20" s="23" t="s">
        <v>86</v>
      </c>
      <c r="C20" s="84"/>
      <c r="D20" s="163" t="s">
        <v>323</v>
      </c>
      <c r="E20" s="171">
        <v>12</v>
      </c>
      <c r="F20" s="171">
        <v>2023</v>
      </c>
      <c r="G20" s="171">
        <f t="shared" si="0"/>
        <v>1</v>
      </c>
      <c r="H20" s="171">
        <f t="shared" si="1"/>
        <v>2024</v>
      </c>
      <c r="I20" s="172">
        <v>1059864</v>
      </c>
      <c r="J20" s="172">
        <v>74000</v>
      </c>
      <c r="N20" s="62"/>
      <c r="O20" s="62"/>
      <c r="P20" s="62"/>
      <c r="Q20" s="62"/>
      <c r="R20" s="62"/>
    </row>
    <row r="21" spans="1:18" x14ac:dyDescent="0.25">
      <c r="B21" s="23" t="s">
        <v>91</v>
      </c>
      <c r="C21" s="65" t="s">
        <v>92</v>
      </c>
      <c r="D21" s="163" t="s">
        <v>324</v>
      </c>
      <c r="E21" s="171">
        <v>12</v>
      </c>
      <c r="F21" s="171">
        <v>2025</v>
      </c>
      <c r="G21" s="171">
        <f t="shared" si="0"/>
        <v>1</v>
      </c>
      <c r="H21" s="171">
        <f t="shared" si="1"/>
        <v>2026</v>
      </c>
      <c r="I21" s="172">
        <v>1069860</v>
      </c>
      <c r="J21" s="172">
        <v>74000</v>
      </c>
      <c r="N21" s="62"/>
      <c r="O21" s="62"/>
      <c r="P21" s="62"/>
      <c r="Q21" s="62"/>
      <c r="R21" s="62"/>
    </row>
    <row r="22" spans="1:18" x14ac:dyDescent="0.25">
      <c r="B22" s="54" t="s">
        <v>18</v>
      </c>
      <c r="C22" s="64"/>
      <c r="D22" s="55"/>
      <c r="E22" s="167"/>
      <c r="F22" s="168"/>
      <c r="G22" s="169"/>
      <c r="H22" s="169"/>
      <c r="I22" s="170">
        <f>SUM(I8:I21)</f>
        <v>21038313</v>
      </c>
      <c r="J22" s="170">
        <f>SUM(J8:J21)</f>
        <v>1172000</v>
      </c>
      <c r="N22" s="62"/>
      <c r="O22" s="62"/>
      <c r="P22" s="62"/>
      <c r="Q22" s="62"/>
      <c r="R22" s="62"/>
    </row>
    <row r="23" spans="1:18" x14ac:dyDescent="0.25">
      <c r="C23" s="56"/>
      <c r="N23" s="62"/>
      <c r="O23" s="62"/>
      <c r="P23" s="62"/>
      <c r="Q23" s="62"/>
      <c r="R23" s="62"/>
    </row>
    <row r="24" spans="1:18" x14ac:dyDescent="0.25">
      <c r="C24" s="56"/>
      <c r="N24" s="62"/>
      <c r="O24" s="62"/>
      <c r="P24" s="62"/>
      <c r="Q24" s="62"/>
      <c r="R24" s="62"/>
    </row>
    <row r="25" spans="1:18" x14ac:dyDescent="0.25">
      <c r="C25" s="56"/>
      <c r="N25" s="62"/>
      <c r="O25" s="62"/>
      <c r="P25" s="62"/>
      <c r="Q25" s="62"/>
      <c r="R25" s="62"/>
    </row>
    <row r="26" spans="1:18" x14ac:dyDescent="0.25">
      <c r="C26" s="56"/>
      <c r="N26" s="62"/>
      <c r="O26" s="62"/>
      <c r="P26" s="62"/>
      <c r="Q26" s="62"/>
      <c r="R26" s="62"/>
    </row>
    <row r="27" spans="1:18" x14ac:dyDescent="0.25">
      <c r="C27" s="56"/>
      <c r="N27" s="62"/>
      <c r="O27" s="62"/>
      <c r="P27" s="62"/>
      <c r="Q27" s="62"/>
      <c r="R27" s="62"/>
    </row>
    <row r="28" spans="1:18" x14ac:dyDescent="0.25">
      <c r="C28" s="56"/>
      <c r="N28" s="62"/>
      <c r="O28" s="62"/>
      <c r="P28" s="62"/>
      <c r="Q28" s="62"/>
      <c r="R28" s="62"/>
    </row>
    <row r="29" spans="1:18" x14ac:dyDescent="0.25">
      <c r="N29" s="62"/>
      <c r="O29" s="62"/>
      <c r="P29" s="62"/>
      <c r="Q29" s="62"/>
      <c r="R29" s="62"/>
    </row>
    <row r="30" spans="1:18" x14ac:dyDescent="0.25">
      <c r="N30" s="62"/>
      <c r="O30" s="62"/>
      <c r="P30" s="62"/>
      <c r="Q30" s="62"/>
      <c r="R30" s="62"/>
    </row>
    <row r="31" spans="1:18" x14ac:dyDescent="0.25">
      <c r="N31" s="62"/>
      <c r="O31" s="62"/>
      <c r="P31" s="62"/>
      <c r="Q31" s="62"/>
      <c r="R31" s="62"/>
    </row>
    <row r="32" spans="1:18" x14ac:dyDescent="0.25">
      <c r="N32" s="62"/>
      <c r="O32" s="62"/>
      <c r="P32" s="62"/>
      <c r="Q32" s="62"/>
      <c r="R32" s="62"/>
    </row>
    <row r="33" spans="14:18" x14ac:dyDescent="0.25">
      <c r="N33" s="62"/>
      <c r="O33" s="62"/>
      <c r="P33" s="62"/>
      <c r="Q33" s="62"/>
      <c r="R33" s="62"/>
    </row>
    <row r="34" spans="14:18" x14ac:dyDescent="0.25">
      <c r="N34" s="62"/>
      <c r="O34" s="62"/>
      <c r="P34" s="62"/>
      <c r="Q34" s="62"/>
      <c r="R34" s="62"/>
    </row>
    <row r="35" spans="14:18" x14ac:dyDescent="0.25">
      <c r="N35" s="62"/>
      <c r="O35" s="62"/>
      <c r="P35" s="62"/>
      <c r="Q35" s="62"/>
      <c r="R35" s="62"/>
    </row>
    <row r="41" spans="14:18" ht="29.45" customHeight="1" x14ac:dyDescent="0.25"/>
    <row r="55" spans="2:2" x14ac:dyDescent="0.25">
      <c r="B55" s="2"/>
    </row>
    <row r="56" spans="2:2" x14ac:dyDescent="0.25">
      <c r="B56" s="2"/>
    </row>
    <row r="57" spans="2:2" x14ac:dyDescent="0.25">
      <c r="B57" s="2"/>
    </row>
    <row r="59" spans="2:2" x14ac:dyDescent="0.25">
      <c r="B59" s="2"/>
    </row>
    <row r="77" spans="2:2" x14ac:dyDescent="0.25">
      <c r="B77" s="27"/>
    </row>
  </sheetData>
  <mergeCells count="36">
    <mergeCell ref="G6:G7"/>
    <mergeCell ref="H6:H7"/>
    <mergeCell ref="J15:J16"/>
    <mergeCell ref="I15:I16"/>
    <mergeCell ref="H15:H16"/>
    <mergeCell ref="G15:G16"/>
    <mergeCell ref="J9:J10"/>
    <mergeCell ref="I9:I10"/>
    <mergeCell ref="H9:H10"/>
    <mergeCell ref="G9:G10"/>
    <mergeCell ref="J6:J7"/>
    <mergeCell ref="I6:I7"/>
    <mergeCell ref="F9:F10"/>
    <mergeCell ref="C8:C11"/>
    <mergeCell ref="J18:J19"/>
    <mergeCell ref="I18:I19"/>
    <mergeCell ref="H18:H19"/>
    <mergeCell ref="G18:G19"/>
    <mergeCell ref="F18:F19"/>
    <mergeCell ref="C12:C14"/>
    <mergeCell ref="F6:F7"/>
    <mergeCell ref="B9:B10"/>
    <mergeCell ref="F15:F16"/>
    <mergeCell ref="C15:C20"/>
    <mergeCell ref="B6:B7"/>
    <mergeCell ref="C6:C7"/>
    <mergeCell ref="D6:D7"/>
    <mergeCell ref="E6:E7"/>
    <mergeCell ref="E9:E10"/>
    <mergeCell ref="D9:D10"/>
    <mergeCell ref="B18:B19"/>
    <mergeCell ref="E18:E19"/>
    <mergeCell ref="D18:D19"/>
    <mergeCell ref="B15:B16"/>
    <mergeCell ref="D15:D16"/>
    <mergeCell ref="E15:E16"/>
  </mergeCells>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X73"/>
  <sheetViews>
    <sheetView showGridLines="0" zoomScale="70" zoomScaleNormal="70" workbookViewId="0">
      <selection activeCell="A26" sqref="A26"/>
    </sheetView>
  </sheetViews>
  <sheetFormatPr defaultColWidth="9.140625" defaultRowHeight="15" x14ac:dyDescent="0.25"/>
  <cols>
    <col min="1" max="1" width="57.28515625" bestFit="1" customWidth="1"/>
    <col min="2" max="2" width="24.42578125" customWidth="1"/>
    <col min="3" max="3" width="9.140625" style="52"/>
    <col min="4" max="6" width="13.28515625" style="52" bestFit="1" customWidth="1"/>
    <col min="7" max="8" width="14.140625" style="52" bestFit="1" customWidth="1"/>
    <col min="9" max="13" width="14.5703125" style="52" bestFit="1" customWidth="1"/>
    <col min="14" max="14" width="14.140625" style="52" bestFit="1" customWidth="1"/>
    <col min="15" max="15" width="14.5703125" style="52" bestFit="1" customWidth="1"/>
    <col min="16" max="17" width="15.42578125" style="52" bestFit="1" customWidth="1"/>
    <col min="18" max="18" width="15.85546875" style="52" bestFit="1" customWidth="1"/>
    <col min="19" max="20" width="15.5703125" style="52" bestFit="1" customWidth="1"/>
    <col min="21" max="21" width="15.85546875" style="52" bestFit="1" customWidth="1"/>
    <col min="22" max="22" width="16" style="52" bestFit="1" customWidth="1"/>
    <col min="23" max="23" width="15.5703125" style="52" bestFit="1" customWidth="1"/>
    <col min="24" max="24" width="15.85546875" style="52" bestFit="1" customWidth="1"/>
    <col min="25" max="16384" width="9.140625" style="52"/>
  </cols>
  <sheetData>
    <row r="1" spans="1:24" customFormat="1" x14ac:dyDescent="0.25"/>
    <row r="2" spans="1:24" customFormat="1" x14ac:dyDescent="0.25">
      <c r="A2" s="89" t="s">
        <v>2</v>
      </c>
      <c r="B2" s="89"/>
      <c r="C2" s="89"/>
      <c r="D2" s="89">
        <v>2021</v>
      </c>
      <c r="E2" s="89">
        <v>2022</v>
      </c>
      <c r="F2" s="89">
        <v>2023</v>
      </c>
      <c r="G2" s="89">
        <v>2024</v>
      </c>
      <c r="H2" s="89">
        <v>2025</v>
      </c>
      <c r="I2" s="89">
        <v>2026</v>
      </c>
      <c r="J2" s="89">
        <v>2027</v>
      </c>
      <c r="K2" s="89">
        <v>2028</v>
      </c>
      <c r="L2" s="89">
        <v>2029</v>
      </c>
      <c r="M2" s="89">
        <v>2030</v>
      </c>
      <c r="N2" s="89">
        <v>2031</v>
      </c>
      <c r="O2" s="89">
        <v>2032</v>
      </c>
      <c r="P2" s="89">
        <v>2033</v>
      </c>
      <c r="Q2" s="89">
        <v>2034</v>
      </c>
      <c r="R2" s="89">
        <v>2035</v>
      </c>
      <c r="S2" s="89">
        <v>2036</v>
      </c>
      <c r="T2" s="89">
        <v>2037</v>
      </c>
      <c r="U2" s="89">
        <v>2038</v>
      </c>
      <c r="V2" s="89">
        <v>2039</v>
      </c>
      <c r="W2" s="89">
        <v>2040</v>
      </c>
    </row>
    <row r="3" spans="1:24" customFormat="1" x14ac:dyDescent="0.25">
      <c r="A3" s="89" t="s">
        <v>3</v>
      </c>
      <c r="B3" s="89"/>
      <c r="C3" s="89"/>
      <c r="D3" s="89">
        <v>1</v>
      </c>
      <c r="E3" s="89">
        <v>2</v>
      </c>
      <c r="F3" s="89">
        <v>3</v>
      </c>
      <c r="G3" s="89">
        <v>4</v>
      </c>
      <c r="H3" s="89">
        <v>5</v>
      </c>
      <c r="I3" s="89">
        <v>6</v>
      </c>
      <c r="J3" s="89">
        <v>7</v>
      </c>
      <c r="K3" s="89">
        <v>8</v>
      </c>
      <c r="L3" s="89">
        <v>9</v>
      </c>
      <c r="M3" s="89">
        <v>10</v>
      </c>
      <c r="N3" s="89">
        <v>11</v>
      </c>
      <c r="O3" s="89">
        <v>12</v>
      </c>
      <c r="P3" s="89">
        <v>13</v>
      </c>
      <c r="Q3" s="89">
        <v>14</v>
      </c>
      <c r="R3" s="89">
        <v>15</v>
      </c>
      <c r="S3" s="89">
        <v>16</v>
      </c>
      <c r="T3" s="89">
        <v>17</v>
      </c>
      <c r="U3" s="89">
        <v>18</v>
      </c>
      <c r="V3" s="89">
        <v>19</v>
      </c>
      <c r="W3" s="89">
        <v>20</v>
      </c>
    </row>
    <row r="4" spans="1:24" customFormat="1" x14ac:dyDescent="0.25"/>
    <row r="5" spans="1:24" customFormat="1" x14ac:dyDescent="0.25"/>
    <row r="6" spans="1:24" customFormat="1" x14ac:dyDescent="0.25">
      <c r="A6" s="1" t="s">
        <v>365</v>
      </c>
    </row>
    <row r="7" spans="1:24" customFormat="1" x14ac:dyDescent="0.25">
      <c r="A7" t="s">
        <v>253</v>
      </c>
      <c r="B7" t="s">
        <v>22</v>
      </c>
      <c r="D7" s="29">
        <f>D15</f>
        <v>1399.4645097931111</v>
      </c>
      <c r="E7" s="29">
        <f t="shared" ref="E7:V7" si="0">E15</f>
        <v>2334.9631249052391</v>
      </c>
      <c r="F7" s="29">
        <f t="shared" si="0"/>
        <v>4347.7387744483194</v>
      </c>
      <c r="G7" s="29">
        <f t="shared" si="0"/>
        <v>8093.7157747653382</v>
      </c>
      <c r="H7" s="29">
        <f t="shared" si="0"/>
        <v>13823.794137572191</v>
      </c>
      <c r="I7" s="29">
        <f t="shared" si="0"/>
        <v>22252.83976926576</v>
      </c>
      <c r="J7" s="29">
        <f t="shared" si="0"/>
        <v>34039.564764096984</v>
      </c>
      <c r="K7" s="29">
        <f t="shared" si="0"/>
        <v>49601.339300285319</v>
      </c>
      <c r="L7" s="29">
        <f t="shared" si="0"/>
        <v>69486.559117724086</v>
      </c>
      <c r="M7" s="29">
        <f t="shared" si="0"/>
        <v>93990.72867465645</v>
      </c>
      <c r="N7" s="29">
        <f t="shared" si="0"/>
        <v>122406.94714442255</v>
      </c>
      <c r="O7" s="29">
        <f t="shared" si="0"/>
        <v>155204.35772353242</v>
      </c>
      <c r="P7" s="29">
        <f t="shared" si="0"/>
        <v>192985.51869409106</v>
      </c>
      <c r="Q7" s="29">
        <f t="shared" si="0"/>
        <v>236286.47992239942</v>
      </c>
      <c r="R7" s="29">
        <f t="shared" si="0"/>
        <v>285335.04268893605</v>
      </c>
      <c r="S7" s="29">
        <f t="shared" si="0"/>
        <v>357933.95671389782</v>
      </c>
      <c r="T7" s="29">
        <f t="shared" si="0"/>
        <v>426947.78834923025</v>
      </c>
      <c r="U7" s="29">
        <f t="shared" si="0"/>
        <v>492259.05266881234</v>
      </c>
      <c r="V7" s="29">
        <f t="shared" si="0"/>
        <v>554242.90492825746</v>
      </c>
      <c r="W7" s="29">
        <f>W15</f>
        <v>612822.48210810334</v>
      </c>
    </row>
    <row r="8" spans="1:24" customFormat="1" x14ac:dyDescent="0.25">
      <c r="A8" t="s">
        <v>39</v>
      </c>
      <c r="B8" t="s">
        <v>22</v>
      </c>
      <c r="C8" s="175">
        <f>'Benefit Input Pars'!B56</f>
        <v>0.2</v>
      </c>
      <c r="D8" s="29">
        <f>D7*$C$8</f>
        <v>279.89290195862225</v>
      </c>
      <c r="E8" s="29">
        <f t="shared" ref="E8:W8" si="1">E7*$C$8</f>
        <v>466.99262498104781</v>
      </c>
      <c r="F8" s="29">
        <f t="shared" si="1"/>
        <v>869.54775488966391</v>
      </c>
      <c r="G8" s="29">
        <f t="shared" si="1"/>
        <v>1618.7431549530677</v>
      </c>
      <c r="H8" s="29">
        <f t="shared" si="1"/>
        <v>2764.7588275144385</v>
      </c>
      <c r="I8" s="29">
        <f t="shared" si="1"/>
        <v>4450.5679538531522</v>
      </c>
      <c r="J8" s="29">
        <f t="shared" si="1"/>
        <v>6807.9129528193971</v>
      </c>
      <c r="K8" s="29">
        <f t="shared" si="1"/>
        <v>9920.2678600570653</v>
      </c>
      <c r="L8" s="29">
        <f t="shared" si="1"/>
        <v>13897.311823544818</v>
      </c>
      <c r="M8" s="29">
        <f t="shared" si="1"/>
        <v>18798.145734931291</v>
      </c>
      <c r="N8" s="29">
        <f t="shared" si="1"/>
        <v>24481.389428884511</v>
      </c>
      <c r="O8" s="29">
        <f t="shared" si="1"/>
        <v>31040.871544706486</v>
      </c>
      <c r="P8" s="29">
        <f t="shared" si="1"/>
        <v>38597.103738818216</v>
      </c>
      <c r="Q8" s="29">
        <f t="shared" si="1"/>
        <v>47257.29598447989</v>
      </c>
      <c r="R8" s="29">
        <f t="shared" si="1"/>
        <v>57067.008537787216</v>
      </c>
      <c r="S8" s="29">
        <f t="shared" si="1"/>
        <v>71586.791342779572</v>
      </c>
      <c r="T8" s="29">
        <f t="shared" si="1"/>
        <v>85389.55766984605</v>
      </c>
      <c r="U8" s="29">
        <f t="shared" si="1"/>
        <v>98451.810533762473</v>
      </c>
      <c r="V8" s="29">
        <f t="shared" si="1"/>
        <v>110848.5809856515</v>
      </c>
      <c r="W8" s="29">
        <f t="shared" si="1"/>
        <v>122564.49642162067</v>
      </c>
    </row>
    <row r="9" spans="1:24" customFormat="1" x14ac:dyDescent="0.25">
      <c r="A9" s="91" t="s">
        <v>56</v>
      </c>
      <c r="B9" s="91" t="s">
        <v>22</v>
      </c>
      <c r="C9" s="175">
        <f>'Benefit Input Pars'!B58</f>
        <v>0.2</v>
      </c>
      <c r="D9" s="92">
        <f>$C$9*D7</f>
        <v>279.89290195862225</v>
      </c>
      <c r="E9" s="92">
        <f t="shared" ref="E9:W9" si="2">$C$9*E7</f>
        <v>466.99262498104781</v>
      </c>
      <c r="F9" s="92">
        <f t="shared" si="2"/>
        <v>869.54775488966391</v>
      </c>
      <c r="G9" s="92">
        <f t="shared" si="2"/>
        <v>1618.7431549530677</v>
      </c>
      <c r="H9" s="92">
        <f t="shared" si="2"/>
        <v>2764.7588275144385</v>
      </c>
      <c r="I9" s="92">
        <f t="shared" si="2"/>
        <v>4450.5679538531522</v>
      </c>
      <c r="J9" s="92">
        <f t="shared" si="2"/>
        <v>6807.9129528193971</v>
      </c>
      <c r="K9" s="92">
        <f t="shared" si="2"/>
        <v>9920.2678600570653</v>
      </c>
      <c r="L9" s="92">
        <f t="shared" si="2"/>
        <v>13897.311823544818</v>
      </c>
      <c r="M9" s="92">
        <f t="shared" si="2"/>
        <v>18798.145734931291</v>
      </c>
      <c r="N9" s="92">
        <f t="shared" si="2"/>
        <v>24481.389428884511</v>
      </c>
      <c r="O9" s="92">
        <f t="shared" si="2"/>
        <v>31040.871544706486</v>
      </c>
      <c r="P9" s="92">
        <f t="shared" si="2"/>
        <v>38597.103738818216</v>
      </c>
      <c r="Q9" s="92">
        <f t="shared" si="2"/>
        <v>47257.29598447989</v>
      </c>
      <c r="R9" s="92">
        <f t="shared" si="2"/>
        <v>57067.008537787216</v>
      </c>
      <c r="S9" s="92">
        <f t="shared" si="2"/>
        <v>71586.791342779572</v>
      </c>
      <c r="T9" s="92">
        <f t="shared" si="2"/>
        <v>85389.55766984605</v>
      </c>
      <c r="U9" s="92">
        <f t="shared" si="2"/>
        <v>98451.810533762473</v>
      </c>
      <c r="V9" s="92">
        <f t="shared" si="2"/>
        <v>110848.5809856515</v>
      </c>
      <c r="W9" s="92">
        <f t="shared" si="2"/>
        <v>122564.49642162067</v>
      </c>
    </row>
    <row r="10" spans="1:24" customFormat="1" x14ac:dyDescent="0.25"/>
    <row r="11" spans="1:24" customFormat="1" x14ac:dyDescent="0.25">
      <c r="E11" s="9"/>
      <c r="F11" s="9"/>
      <c r="G11" s="9"/>
      <c r="H11" s="9"/>
      <c r="I11" s="9"/>
      <c r="J11" s="9"/>
      <c r="K11" s="9"/>
      <c r="L11" s="9"/>
      <c r="M11" s="9"/>
      <c r="N11" s="9"/>
      <c r="O11" s="9"/>
      <c r="P11" s="9"/>
      <c r="Q11" s="9"/>
      <c r="R11" s="9"/>
      <c r="S11" s="9"/>
      <c r="T11" s="9"/>
      <c r="U11" s="9"/>
      <c r="V11" s="9"/>
      <c r="W11" s="9"/>
    </row>
    <row r="12" spans="1:24" s="51" customFormat="1" x14ac:dyDescent="0.25">
      <c r="A12" s="51" t="s">
        <v>412</v>
      </c>
      <c r="B12" s="51" t="s">
        <v>408</v>
      </c>
      <c r="D12" s="87">
        <v>3514</v>
      </c>
      <c r="E12" s="87">
        <v>5863</v>
      </c>
      <c r="F12" s="87">
        <v>10917</v>
      </c>
      <c r="G12" s="87">
        <v>20323</v>
      </c>
      <c r="H12" s="87">
        <v>34711</v>
      </c>
      <c r="I12" s="87">
        <v>55876</v>
      </c>
      <c r="J12" s="87">
        <v>85472</v>
      </c>
      <c r="K12" s="87">
        <v>124547</v>
      </c>
      <c r="L12" s="87">
        <v>174478</v>
      </c>
      <c r="M12" s="87">
        <v>236007</v>
      </c>
      <c r="N12" s="87">
        <v>307359</v>
      </c>
      <c r="O12" s="87">
        <v>389712</v>
      </c>
      <c r="P12" s="87">
        <v>484579</v>
      </c>
      <c r="Q12" s="87">
        <v>593306</v>
      </c>
      <c r="R12" s="87">
        <v>716465</v>
      </c>
      <c r="S12" s="87">
        <v>898758</v>
      </c>
      <c r="T12" s="87">
        <v>1072049</v>
      </c>
      <c r="U12" s="87">
        <v>1236043</v>
      </c>
      <c r="V12" s="87">
        <v>1391682</v>
      </c>
      <c r="W12" s="87">
        <v>1538773</v>
      </c>
      <c r="X12" s="32"/>
    </row>
    <row r="13" spans="1:24" s="51" customFormat="1" x14ac:dyDescent="0.25">
      <c r="A13" s="56" t="s">
        <v>412</v>
      </c>
      <c r="B13" s="51" t="s">
        <v>409</v>
      </c>
      <c r="D13" s="87">
        <v>8616</v>
      </c>
      <c r="E13" s="87">
        <v>16101</v>
      </c>
      <c r="F13" s="87">
        <v>28308</v>
      </c>
      <c r="G13" s="87">
        <v>46614</v>
      </c>
      <c r="H13" s="87">
        <v>75054</v>
      </c>
      <c r="I13" s="87">
        <v>115251</v>
      </c>
      <c r="J13" s="87">
        <v>167618</v>
      </c>
      <c r="K13" s="87">
        <v>232667</v>
      </c>
      <c r="L13" s="87">
        <v>310181</v>
      </c>
      <c r="M13" s="87">
        <v>398451</v>
      </c>
      <c r="N13" s="87">
        <v>495898</v>
      </c>
      <c r="O13" s="87">
        <v>603394</v>
      </c>
      <c r="P13" s="87">
        <v>721652</v>
      </c>
      <c r="Q13" s="87">
        <v>850467</v>
      </c>
      <c r="R13" s="87">
        <v>994907</v>
      </c>
      <c r="S13" s="87">
        <v>1140858</v>
      </c>
      <c r="T13" s="87">
        <v>1295254</v>
      </c>
      <c r="U13" s="87">
        <v>1448523</v>
      </c>
      <c r="V13" s="87">
        <v>1596956</v>
      </c>
      <c r="W13" s="87">
        <v>1747921</v>
      </c>
      <c r="X13" s="6"/>
    </row>
    <row r="14" spans="1:24" customFormat="1" x14ac:dyDescent="0.25">
      <c r="A14" s="56" t="s">
        <v>412</v>
      </c>
      <c r="B14" t="s">
        <v>410</v>
      </c>
      <c r="D14" s="87">
        <v>2598</v>
      </c>
      <c r="E14" s="87">
        <v>3231</v>
      </c>
      <c r="F14" s="87">
        <v>4291</v>
      </c>
      <c r="G14" s="87">
        <v>5831</v>
      </c>
      <c r="H14" s="87">
        <v>7858</v>
      </c>
      <c r="I14" s="87">
        <v>11045</v>
      </c>
      <c r="J14" s="87">
        <v>16362</v>
      </c>
      <c r="K14" s="87">
        <v>24264</v>
      </c>
      <c r="L14" s="87">
        <v>35825</v>
      </c>
      <c r="M14" s="87">
        <v>52639</v>
      </c>
      <c r="N14" s="87">
        <v>75581</v>
      </c>
      <c r="O14" s="87">
        <v>106914</v>
      </c>
      <c r="P14" s="87">
        <v>151261</v>
      </c>
      <c r="Q14" s="87">
        <v>214588</v>
      </c>
      <c r="R14" s="87">
        <v>304343</v>
      </c>
      <c r="S14" s="87">
        <v>410091</v>
      </c>
      <c r="T14" s="87">
        <v>510914</v>
      </c>
      <c r="U14" s="87">
        <v>607108</v>
      </c>
      <c r="V14" s="87">
        <v>698887</v>
      </c>
      <c r="W14" s="87">
        <v>786711</v>
      </c>
    </row>
    <row r="15" spans="1:24" customFormat="1" x14ac:dyDescent="0.25">
      <c r="A15" t="s">
        <v>158</v>
      </c>
      <c r="B15" t="s">
        <v>159</v>
      </c>
      <c r="C15" s="175">
        <f>(339400+816349)/(339400+816349+676807+734644+334840)</f>
        <v>0.39825398685062924</v>
      </c>
      <c r="D15" s="29">
        <f>$C$15*IF('Benefit Input Pars'!$B$52=1,'Time Series Data Inputs'!D12, IF('Benefit Input Pars'!$B$52=2,'Time Series Data Inputs'!D13, IF('Benefit Input Pars'!$B$52=3,'Time Series Data Inputs'!D14,0)))</f>
        <v>1399.4645097931111</v>
      </c>
      <c r="E15" s="29">
        <f>$C$15*IF('Benefit Input Pars'!$B$52=1,'Time Series Data Inputs'!E12, IF('Benefit Input Pars'!$B$52=2,'Time Series Data Inputs'!E13, IF('Benefit Input Pars'!$B$52=3,'Time Series Data Inputs'!E14,0)))</f>
        <v>2334.9631249052391</v>
      </c>
      <c r="F15" s="29">
        <f>$C$15*IF('Benefit Input Pars'!$B$52=1,'Time Series Data Inputs'!F12, IF('Benefit Input Pars'!$B$52=2,'Time Series Data Inputs'!F13, IF('Benefit Input Pars'!$B$52=3,'Time Series Data Inputs'!F14,0)))</f>
        <v>4347.7387744483194</v>
      </c>
      <c r="G15" s="29">
        <f>$C$15*IF('Benefit Input Pars'!$B$52=1,'Time Series Data Inputs'!G12, IF('Benefit Input Pars'!$B$52=2,'Time Series Data Inputs'!G13, IF('Benefit Input Pars'!$B$52=3,'Time Series Data Inputs'!G14,0)))</f>
        <v>8093.7157747653382</v>
      </c>
      <c r="H15" s="29">
        <f>$C$15*IF('Benefit Input Pars'!$B$52=1,'Time Series Data Inputs'!H12, IF('Benefit Input Pars'!$B$52=2,'Time Series Data Inputs'!H13, IF('Benefit Input Pars'!$B$52=3,'Time Series Data Inputs'!H14,0)))</f>
        <v>13823.794137572191</v>
      </c>
      <c r="I15" s="29">
        <f>$C$15*IF('Benefit Input Pars'!$B$52=1,'Time Series Data Inputs'!I12, IF('Benefit Input Pars'!$B$52=2,'Time Series Data Inputs'!I13, IF('Benefit Input Pars'!$B$52=3,'Time Series Data Inputs'!I14,0)))</f>
        <v>22252.83976926576</v>
      </c>
      <c r="J15" s="29">
        <f>$C$15*IF('Benefit Input Pars'!$B$52=1,'Time Series Data Inputs'!J12, IF('Benefit Input Pars'!$B$52=2,'Time Series Data Inputs'!J13, IF('Benefit Input Pars'!$B$52=3,'Time Series Data Inputs'!J14,0)))</f>
        <v>34039.564764096984</v>
      </c>
      <c r="K15" s="29">
        <f>$C$15*IF('Benefit Input Pars'!$B$52=1,'Time Series Data Inputs'!K12, IF('Benefit Input Pars'!$B$52=2,'Time Series Data Inputs'!K13, IF('Benefit Input Pars'!$B$52=3,'Time Series Data Inputs'!K14,0)))</f>
        <v>49601.339300285319</v>
      </c>
      <c r="L15" s="29">
        <f>$C$15*IF('Benefit Input Pars'!$B$52=1,'Time Series Data Inputs'!L12, IF('Benefit Input Pars'!$B$52=2,'Time Series Data Inputs'!L13, IF('Benefit Input Pars'!$B$52=3,'Time Series Data Inputs'!L14,0)))</f>
        <v>69486.559117724086</v>
      </c>
      <c r="M15" s="29">
        <f>$C$15*IF('Benefit Input Pars'!$B$52=1,'Time Series Data Inputs'!M12, IF('Benefit Input Pars'!$B$52=2,'Time Series Data Inputs'!M13, IF('Benefit Input Pars'!$B$52=3,'Time Series Data Inputs'!M14,0)))</f>
        <v>93990.72867465645</v>
      </c>
      <c r="N15" s="29">
        <f>$C$15*IF('Benefit Input Pars'!$B$52=1,'Time Series Data Inputs'!N12, IF('Benefit Input Pars'!$B$52=2,'Time Series Data Inputs'!N13, IF('Benefit Input Pars'!$B$52=3,'Time Series Data Inputs'!N14,0)))</f>
        <v>122406.94714442255</v>
      </c>
      <c r="O15" s="29">
        <f>$C$15*IF('Benefit Input Pars'!$B$52=1,'Time Series Data Inputs'!O12, IF('Benefit Input Pars'!$B$52=2,'Time Series Data Inputs'!O13, IF('Benefit Input Pars'!$B$52=3,'Time Series Data Inputs'!O14,0)))</f>
        <v>155204.35772353242</v>
      </c>
      <c r="P15" s="29">
        <f>$C$15*IF('Benefit Input Pars'!$B$52=1,'Time Series Data Inputs'!P12, IF('Benefit Input Pars'!$B$52=2,'Time Series Data Inputs'!P13, IF('Benefit Input Pars'!$B$52=3,'Time Series Data Inputs'!P14,0)))</f>
        <v>192985.51869409106</v>
      </c>
      <c r="Q15" s="29">
        <f>$C$15*IF('Benefit Input Pars'!$B$52=1,'Time Series Data Inputs'!Q12, IF('Benefit Input Pars'!$B$52=2,'Time Series Data Inputs'!Q13, IF('Benefit Input Pars'!$B$52=3,'Time Series Data Inputs'!Q14,0)))</f>
        <v>236286.47992239942</v>
      </c>
      <c r="R15" s="29">
        <f>$C$15*IF('Benefit Input Pars'!$B$52=1,'Time Series Data Inputs'!R12, IF('Benefit Input Pars'!$B$52=2,'Time Series Data Inputs'!R13, IF('Benefit Input Pars'!$B$52=3,'Time Series Data Inputs'!R14,0)))</f>
        <v>285335.04268893605</v>
      </c>
      <c r="S15" s="29">
        <f>$C$15*IF('Benefit Input Pars'!$B$52=1,'Time Series Data Inputs'!S12, IF('Benefit Input Pars'!$B$52=2,'Time Series Data Inputs'!S13, IF('Benefit Input Pars'!$B$52=3,'Time Series Data Inputs'!S14,0)))</f>
        <v>357933.95671389782</v>
      </c>
      <c r="T15" s="29">
        <f>$C$15*IF('Benefit Input Pars'!$B$52=1,'Time Series Data Inputs'!T12, IF('Benefit Input Pars'!$B$52=2,'Time Series Data Inputs'!T13, IF('Benefit Input Pars'!$B$52=3,'Time Series Data Inputs'!T14,0)))</f>
        <v>426947.78834923025</v>
      </c>
      <c r="U15" s="29">
        <f>$C$15*IF('Benefit Input Pars'!$B$52=1,'Time Series Data Inputs'!U12, IF('Benefit Input Pars'!$B$52=2,'Time Series Data Inputs'!U13, IF('Benefit Input Pars'!$B$52=3,'Time Series Data Inputs'!U14,0)))</f>
        <v>492259.05266881234</v>
      </c>
      <c r="V15" s="29">
        <f>$C$15*IF('Benefit Input Pars'!$B$52=1,'Time Series Data Inputs'!V12, IF('Benefit Input Pars'!$B$52=2,'Time Series Data Inputs'!V13, IF('Benefit Input Pars'!$B$52=3,'Time Series Data Inputs'!V14,0)))</f>
        <v>554242.90492825746</v>
      </c>
      <c r="W15" s="29">
        <f>$C$15*IF('Benefit Input Pars'!$B$52=1,'Time Series Data Inputs'!W12, IF('Benefit Input Pars'!$B$52=2,'Time Series Data Inputs'!W13, IF('Benefit Input Pars'!$B$52=3,'Time Series Data Inputs'!W14,0)))</f>
        <v>612822.48210810334</v>
      </c>
    </row>
    <row r="16" spans="1:24" customFormat="1" x14ac:dyDescent="0.25">
      <c r="A16" s="91" t="s">
        <v>160</v>
      </c>
      <c r="B16" s="91" t="s">
        <v>159</v>
      </c>
      <c r="C16" s="175">
        <f>676807/(676807+816349+334840+339400+734644)</f>
        <v>0.23321766757177709</v>
      </c>
      <c r="D16" s="92">
        <f>$C$16*IF('Benefit Input Pars'!$B$52=1,'Time Series Data Inputs'!D12, IF('Benefit Input Pars'!$B$52=2,'Time Series Data Inputs'!D13, IF('Benefit Input Pars'!$B$52=3,'Time Series Data Inputs'!D14,0)))</f>
        <v>819.52688384722467</v>
      </c>
      <c r="E16" s="92">
        <f>$C$16*IF('Benefit Input Pars'!$B$52=1,'Time Series Data Inputs'!E12, IF('Benefit Input Pars'!$B$52=2,'Time Series Data Inputs'!E13, IF('Benefit Input Pars'!$B$52=3,'Time Series Data Inputs'!E14,0)))</f>
        <v>1367.355184973329</v>
      </c>
      <c r="F16" s="92">
        <f>$C$16*IF('Benefit Input Pars'!$B$52=1,'Time Series Data Inputs'!F12, IF('Benefit Input Pars'!$B$52=2,'Time Series Data Inputs'!F13, IF('Benefit Input Pars'!$B$52=3,'Time Series Data Inputs'!F14,0)))</f>
        <v>2546.0372768810903</v>
      </c>
      <c r="G16" s="92">
        <f>$C$16*IF('Benefit Input Pars'!$B$52=1,'Time Series Data Inputs'!G12, IF('Benefit Input Pars'!$B$52=2,'Time Series Data Inputs'!G13, IF('Benefit Input Pars'!$B$52=3,'Time Series Data Inputs'!G14,0)))</f>
        <v>4739.682658061226</v>
      </c>
      <c r="H16" s="92">
        <f>$C$16*IF('Benefit Input Pars'!$B$52=1,'Time Series Data Inputs'!H12, IF('Benefit Input Pars'!$B$52=2,'Time Series Data Inputs'!H13, IF('Benefit Input Pars'!$B$52=3,'Time Series Data Inputs'!H14,0)))</f>
        <v>8095.2184590839543</v>
      </c>
      <c r="I16" s="92">
        <f>$C$16*IF('Benefit Input Pars'!$B$52=1,'Time Series Data Inputs'!I12, IF('Benefit Input Pars'!$B$52=2,'Time Series Data Inputs'!I13, IF('Benefit Input Pars'!$B$52=3,'Time Series Data Inputs'!I14,0)))</f>
        <v>13031.270393240617</v>
      </c>
      <c r="J16" s="92">
        <f>$C$16*IF('Benefit Input Pars'!$B$52=1,'Time Series Data Inputs'!J12, IF('Benefit Input Pars'!$B$52=2,'Time Series Data Inputs'!J13, IF('Benefit Input Pars'!$B$52=3,'Time Series Data Inputs'!J14,0)))</f>
        <v>19933.580482694932</v>
      </c>
      <c r="K16" s="92">
        <f>$C$16*IF('Benefit Input Pars'!$B$52=1,'Time Series Data Inputs'!K12, IF('Benefit Input Pars'!$B$52=2,'Time Series Data Inputs'!K13, IF('Benefit Input Pars'!$B$52=3,'Time Series Data Inputs'!K14,0)))</f>
        <v>29046.560843062121</v>
      </c>
      <c r="L16" s="92">
        <f>$C$16*IF('Benefit Input Pars'!$B$52=1,'Time Series Data Inputs'!L12, IF('Benefit Input Pars'!$B$52=2,'Time Series Data Inputs'!L13, IF('Benefit Input Pars'!$B$52=3,'Time Series Data Inputs'!L14,0)))</f>
        <v>40691.352202588525</v>
      </c>
      <c r="M16" s="92">
        <f>$C$16*IF('Benefit Input Pars'!$B$52=1,'Time Series Data Inputs'!M12, IF('Benefit Input Pars'!$B$52=2,'Time Series Data Inputs'!M13, IF('Benefit Input Pars'!$B$52=3,'Time Series Data Inputs'!M14,0)))</f>
        <v>55041.002070612398</v>
      </c>
      <c r="N16" s="92">
        <f>$C$16*IF('Benefit Input Pars'!$B$52=1,'Time Series Data Inputs'!N12, IF('Benefit Input Pars'!$B$52=2,'Time Series Data Inputs'!N13, IF('Benefit Input Pars'!$B$52=3,'Time Series Data Inputs'!N14,0)))</f>
        <v>71681.549087193838</v>
      </c>
      <c r="O16" s="92">
        <f>$C$16*IF('Benefit Input Pars'!$B$52=1,'Time Series Data Inputs'!O12, IF('Benefit Input Pars'!$B$52=2,'Time Series Data Inputs'!O13, IF('Benefit Input Pars'!$B$52=3,'Time Series Data Inputs'!O14,0)))</f>
        <v>90887.723664732388</v>
      </c>
      <c r="P16" s="92">
        <f>$C$16*IF('Benefit Input Pars'!$B$52=1,'Time Series Data Inputs'!P12, IF('Benefit Input Pars'!$B$52=2,'Time Series Data Inputs'!P13, IF('Benefit Input Pars'!$B$52=3,'Time Series Data Inputs'!P14,0)))</f>
        <v>113012.38413426417</v>
      </c>
      <c r="Q16" s="92">
        <f>$C$16*IF('Benefit Input Pars'!$B$52=1,'Time Series Data Inputs'!Q12, IF('Benefit Input Pars'!$B$52=2,'Time Series Data Inputs'!Q13, IF('Benefit Input Pars'!$B$52=3,'Time Series Data Inputs'!Q14,0)))</f>
        <v>138369.44147634078</v>
      </c>
      <c r="R16" s="92">
        <f>$C$16*IF('Benefit Input Pars'!$B$52=1,'Time Series Data Inputs'!R12, IF('Benefit Input Pars'!$B$52=2,'Time Series Data Inputs'!R13, IF('Benefit Input Pars'!$B$52=3,'Time Series Data Inputs'!R14,0)))</f>
        <v>167092.29619681326</v>
      </c>
      <c r="S16" s="92">
        <f>$C$16*IF('Benefit Input Pars'!$B$52=1,'Time Series Data Inputs'!S12, IF('Benefit Input Pars'!$B$52=2,'Time Series Data Inputs'!S13, IF('Benefit Input Pars'!$B$52=3,'Time Series Data Inputs'!S14,0)))</f>
        <v>209606.24447147522</v>
      </c>
      <c r="T16" s="92">
        <f>$C$16*IF('Benefit Input Pars'!$B$52=1,'Time Series Data Inputs'!T12, IF('Benefit Input Pars'!$B$52=2,'Time Series Data Inputs'!T13, IF('Benefit Input Pars'!$B$52=3,'Time Series Data Inputs'!T14,0)))</f>
        <v>250020.76730265605</v>
      </c>
      <c r="U16" s="92">
        <f>$C$16*IF('Benefit Input Pars'!$B$52=1,'Time Series Data Inputs'!U12, IF('Benefit Input Pars'!$B$52=2,'Time Series Data Inputs'!U13, IF('Benefit Input Pars'!$B$52=3,'Time Series Data Inputs'!U14,0)))</f>
        <v>288267.06547842204</v>
      </c>
      <c r="V16" s="92">
        <f>$C$16*IF('Benefit Input Pars'!$B$52=1,'Time Series Data Inputs'!V12, IF('Benefit Input Pars'!$B$52=2,'Time Series Data Inputs'!V13, IF('Benefit Input Pars'!$B$52=3,'Time Series Data Inputs'!V14,0)))</f>
        <v>324564.83004162589</v>
      </c>
      <c r="W16" s="92">
        <f>$C$16*IF('Benefit Input Pars'!$B$52=1,'Time Series Data Inputs'!W12, IF('Benefit Input Pars'!$B$52=2,'Time Series Data Inputs'!W13, IF('Benefit Input Pars'!$B$52=3,'Time Series Data Inputs'!W14,0)))</f>
        <v>358869.04998242616</v>
      </c>
    </row>
    <row r="17" spans="1:24" customFormat="1" x14ac:dyDescent="0.25">
      <c r="C17" s="5"/>
      <c r="D17" s="29"/>
      <c r="E17" s="29"/>
      <c r="F17" s="29"/>
      <c r="G17" s="29"/>
      <c r="H17" s="29"/>
      <c r="I17" s="29"/>
      <c r="J17" s="29"/>
      <c r="K17" s="29"/>
      <c r="L17" s="29"/>
      <c r="M17" s="29"/>
      <c r="N17" s="29"/>
      <c r="O17" s="29"/>
      <c r="P17" s="29"/>
      <c r="Q17" s="29"/>
      <c r="R17" s="29"/>
      <c r="S17" s="29"/>
      <c r="T17" s="29"/>
      <c r="U17" s="29"/>
      <c r="V17" s="29"/>
      <c r="W17" s="29"/>
    </row>
    <row r="18" spans="1:24" customFormat="1" x14ac:dyDescent="0.25">
      <c r="C18" s="5"/>
      <c r="D18" s="176">
        <v>2021</v>
      </c>
      <c r="E18" s="176">
        <v>2022</v>
      </c>
      <c r="F18" s="176">
        <v>2023</v>
      </c>
      <c r="G18" s="176">
        <v>2024</v>
      </c>
      <c r="H18" s="176">
        <v>2025</v>
      </c>
      <c r="I18" s="176">
        <v>2026</v>
      </c>
      <c r="J18" s="176">
        <v>2027</v>
      </c>
      <c r="K18" s="176">
        <v>2028</v>
      </c>
      <c r="L18" s="176">
        <v>2029</v>
      </c>
      <c r="M18" s="176">
        <v>2030</v>
      </c>
      <c r="N18" s="176">
        <v>2031</v>
      </c>
      <c r="O18" s="176">
        <v>2032</v>
      </c>
      <c r="P18" s="176">
        <v>2033</v>
      </c>
      <c r="Q18" s="176">
        <v>2034</v>
      </c>
      <c r="R18" s="176">
        <v>2035</v>
      </c>
      <c r="S18" s="176">
        <v>2036</v>
      </c>
      <c r="T18" s="176">
        <v>2037</v>
      </c>
      <c r="U18" s="176">
        <v>2038</v>
      </c>
      <c r="V18" s="176">
        <v>2039</v>
      </c>
      <c r="W18" s="176">
        <v>2040</v>
      </c>
    </row>
    <row r="19" spans="1:24" customFormat="1" x14ac:dyDescent="0.25">
      <c r="A19" t="s">
        <v>254</v>
      </c>
      <c r="B19" t="s">
        <v>255</v>
      </c>
      <c r="C19" s="5"/>
      <c r="D19" s="88">
        <v>0.9473159097083691</v>
      </c>
      <c r="E19" s="88">
        <v>0.90559954833920031</v>
      </c>
      <c r="F19" s="88">
        <v>0.87431227731232364</v>
      </c>
      <c r="G19" s="88">
        <v>0.83259591594315485</v>
      </c>
      <c r="H19" s="88">
        <v>0.79087955457398607</v>
      </c>
      <c r="I19" s="88">
        <v>0.75959228354710939</v>
      </c>
      <c r="J19" s="88">
        <v>0.73873410286252494</v>
      </c>
      <c r="K19" s="88">
        <v>0.70744683183564838</v>
      </c>
      <c r="L19" s="88">
        <v>0.68658865115106393</v>
      </c>
      <c r="M19" s="88">
        <v>0.65530138012418726</v>
      </c>
      <c r="N19" s="88">
        <v>0.64487228978189504</v>
      </c>
      <c r="O19" s="88">
        <v>0.63444319943960281</v>
      </c>
      <c r="P19" s="88">
        <v>0.61358501875501847</v>
      </c>
      <c r="Q19" s="88">
        <v>0.60315592841272625</v>
      </c>
      <c r="R19" s="88">
        <v>0.59272683807043403</v>
      </c>
      <c r="S19" s="88">
        <v>0.5822977477281418</v>
      </c>
      <c r="T19" s="88">
        <v>0.56143956704355746</v>
      </c>
      <c r="U19" s="88">
        <v>0.55101047670126524</v>
      </c>
      <c r="V19" s="88">
        <v>0.54058138635897302</v>
      </c>
      <c r="W19" s="88">
        <v>0.53015229601668079</v>
      </c>
    </row>
    <row r="20" spans="1:24" customFormat="1" x14ac:dyDescent="0.25">
      <c r="A20" s="51" t="s">
        <v>254</v>
      </c>
      <c r="B20" s="51" t="s">
        <v>256</v>
      </c>
      <c r="C20" s="5"/>
      <c r="D20" s="88">
        <v>0.88119547693823663</v>
      </c>
      <c r="E20" s="88">
        <v>0.83019722516442751</v>
      </c>
      <c r="F20" s="88">
        <v>0.77919897339061883</v>
      </c>
      <c r="G20" s="88">
        <v>0.72820072161680982</v>
      </c>
      <c r="H20" s="88">
        <v>0.67720246984300092</v>
      </c>
      <c r="I20" s="88">
        <v>0.64320363532712843</v>
      </c>
      <c r="J20" s="88">
        <v>0.60920480081125572</v>
      </c>
      <c r="K20" s="88">
        <v>0.57520596629538312</v>
      </c>
      <c r="L20" s="88">
        <v>0.54120713177951063</v>
      </c>
      <c r="M20" s="88">
        <v>0.50720829726363792</v>
      </c>
      <c r="N20" s="88">
        <v>0.49020888000570162</v>
      </c>
      <c r="O20" s="88">
        <v>0.47320946274776537</v>
      </c>
      <c r="P20" s="88">
        <v>0.45621004548982896</v>
      </c>
      <c r="Q20" s="88">
        <v>0.43921062823189277</v>
      </c>
      <c r="R20" s="88">
        <v>0.42221121097395631</v>
      </c>
      <c r="S20" s="88">
        <v>0.41507350547156363</v>
      </c>
      <c r="T20" s="88">
        <v>0.42032868437153753</v>
      </c>
      <c r="U20" s="88">
        <v>0.42558386327151149</v>
      </c>
      <c r="V20" s="88">
        <v>0.4308390421714855</v>
      </c>
      <c r="W20" s="88">
        <v>0.43448220300398277</v>
      </c>
    </row>
    <row r="21" spans="1:24" s="51" customFormat="1" x14ac:dyDescent="0.25">
      <c r="A21" s="51" t="s">
        <v>254</v>
      </c>
      <c r="B21" s="51" t="s">
        <v>257</v>
      </c>
      <c r="C21" s="5"/>
      <c r="D21" s="88">
        <v>1.1531861530652174</v>
      </c>
      <c r="E21" s="88">
        <v>1.1475196809935417</v>
      </c>
      <c r="F21" s="88">
        <v>1.1418532078789567</v>
      </c>
      <c r="G21" s="88">
        <v>1.136186735807281</v>
      </c>
      <c r="H21" s="88">
        <v>1.1305202637356053</v>
      </c>
      <c r="I21" s="88">
        <v>1.1267426146449127</v>
      </c>
      <c r="J21" s="88">
        <v>1.1229649665971286</v>
      </c>
      <c r="K21" s="88">
        <v>1.1191873185493446</v>
      </c>
      <c r="L21" s="88">
        <v>1.1154096705015608</v>
      </c>
      <c r="M21" s="88">
        <v>1.111632022453777</v>
      </c>
      <c r="N21" s="88">
        <v>1.1097431973869762</v>
      </c>
      <c r="O21" s="88">
        <v>1.1078543733630843</v>
      </c>
      <c r="P21" s="88">
        <v>1.1059655493391927</v>
      </c>
      <c r="Q21" s="88">
        <v>1.1040767253153005</v>
      </c>
      <c r="R21" s="88">
        <v>1.1021879012914086</v>
      </c>
      <c r="S21" s="88">
        <v>1.1002990772675163</v>
      </c>
      <c r="T21" s="88">
        <v>1.0984102532436246</v>
      </c>
      <c r="U21" s="88">
        <v>1.0965214292197327</v>
      </c>
      <c r="V21" s="88">
        <v>1.0946326051958406</v>
      </c>
      <c r="W21" s="88">
        <v>1.0946326051958406</v>
      </c>
      <c r="X21" s="50"/>
    </row>
    <row r="22" spans="1:24" s="51" customFormat="1" x14ac:dyDescent="0.25">
      <c r="A22" s="91" t="s">
        <v>254</v>
      </c>
      <c r="B22" s="91" t="s">
        <v>258</v>
      </c>
      <c r="C22" s="93"/>
      <c r="D22" s="94">
        <f>IF('Benefit Input Pars'!$B$52=1,'Time Series Data Inputs'!D19, IF('Benefit Input Pars'!$B$52=2,'Time Series Data Inputs'!D20, IF('Benefit Input Pars'!$B$52=3,'Time Series Data Inputs'!D21,0)))</f>
        <v>0.9473159097083691</v>
      </c>
      <c r="E22" s="94">
        <f>IF('Benefit Input Pars'!$B$52=1,'Time Series Data Inputs'!E19, IF('Benefit Input Pars'!$B$52=2,'Time Series Data Inputs'!E20, IF('Benefit Input Pars'!$B$52=3,'Time Series Data Inputs'!E21,0)))</f>
        <v>0.90559954833920031</v>
      </c>
      <c r="F22" s="94">
        <f>IF('Benefit Input Pars'!$B$52=1,'Time Series Data Inputs'!F19, IF('Benefit Input Pars'!$B$52=2,'Time Series Data Inputs'!F20, IF('Benefit Input Pars'!$B$52=3,'Time Series Data Inputs'!F21,0)))</f>
        <v>0.87431227731232364</v>
      </c>
      <c r="G22" s="94">
        <f>IF('Benefit Input Pars'!$B$52=1,'Time Series Data Inputs'!G19, IF('Benefit Input Pars'!$B$52=2,'Time Series Data Inputs'!G20, IF('Benefit Input Pars'!$B$52=3,'Time Series Data Inputs'!G21,0)))</f>
        <v>0.83259591594315485</v>
      </c>
      <c r="H22" s="94">
        <f>IF('Benefit Input Pars'!$B$52=1,'Time Series Data Inputs'!H19, IF('Benefit Input Pars'!$B$52=2,'Time Series Data Inputs'!H20, IF('Benefit Input Pars'!$B$52=3,'Time Series Data Inputs'!H21,0)))</f>
        <v>0.79087955457398607</v>
      </c>
      <c r="I22" s="94">
        <f>IF('Benefit Input Pars'!$B$52=1,'Time Series Data Inputs'!I19, IF('Benefit Input Pars'!$B$52=2,'Time Series Data Inputs'!I20, IF('Benefit Input Pars'!$B$52=3,'Time Series Data Inputs'!I21,0)))</f>
        <v>0.75959228354710939</v>
      </c>
      <c r="J22" s="94">
        <f>IF('Benefit Input Pars'!$B$52=1,'Time Series Data Inputs'!J19, IF('Benefit Input Pars'!$B$52=2,'Time Series Data Inputs'!J20, IF('Benefit Input Pars'!$B$52=3,'Time Series Data Inputs'!J21,0)))</f>
        <v>0.73873410286252494</v>
      </c>
      <c r="K22" s="94">
        <f>IF('Benefit Input Pars'!$B$52=1,'Time Series Data Inputs'!K19, IF('Benefit Input Pars'!$B$52=2,'Time Series Data Inputs'!K20, IF('Benefit Input Pars'!$B$52=3,'Time Series Data Inputs'!K21,0)))</f>
        <v>0.70744683183564838</v>
      </c>
      <c r="L22" s="94">
        <f>IF('Benefit Input Pars'!$B$52=1,'Time Series Data Inputs'!L19, IF('Benefit Input Pars'!$B$52=2,'Time Series Data Inputs'!L20, IF('Benefit Input Pars'!$B$52=3,'Time Series Data Inputs'!L21,0)))</f>
        <v>0.68658865115106393</v>
      </c>
      <c r="M22" s="94">
        <f>IF('Benefit Input Pars'!$B$52=1,'Time Series Data Inputs'!M19, IF('Benefit Input Pars'!$B$52=2,'Time Series Data Inputs'!M20, IF('Benefit Input Pars'!$B$52=3,'Time Series Data Inputs'!M21,0)))</f>
        <v>0.65530138012418726</v>
      </c>
      <c r="N22" s="94">
        <f>IF('Benefit Input Pars'!$B$52=1,'Time Series Data Inputs'!N19, IF('Benefit Input Pars'!$B$52=2,'Time Series Data Inputs'!N20, IF('Benefit Input Pars'!$B$52=3,'Time Series Data Inputs'!N21,0)))</f>
        <v>0.64487228978189504</v>
      </c>
      <c r="O22" s="94">
        <f>IF('Benefit Input Pars'!$B$52=1,'Time Series Data Inputs'!O19, IF('Benefit Input Pars'!$B$52=2,'Time Series Data Inputs'!O20, IF('Benefit Input Pars'!$B$52=3,'Time Series Data Inputs'!O21,0)))</f>
        <v>0.63444319943960281</v>
      </c>
      <c r="P22" s="94">
        <f>IF('Benefit Input Pars'!$B$52=1,'Time Series Data Inputs'!P19, IF('Benefit Input Pars'!$B$52=2,'Time Series Data Inputs'!P20, IF('Benefit Input Pars'!$B$52=3,'Time Series Data Inputs'!P21,0)))</f>
        <v>0.61358501875501847</v>
      </c>
      <c r="Q22" s="94">
        <f>IF('Benefit Input Pars'!$B$52=1,'Time Series Data Inputs'!Q19, IF('Benefit Input Pars'!$B$52=2,'Time Series Data Inputs'!Q20, IF('Benefit Input Pars'!$B$52=3,'Time Series Data Inputs'!Q21,0)))</f>
        <v>0.60315592841272625</v>
      </c>
      <c r="R22" s="94">
        <f>IF('Benefit Input Pars'!$B$52=1,'Time Series Data Inputs'!R19, IF('Benefit Input Pars'!$B$52=2,'Time Series Data Inputs'!R20, IF('Benefit Input Pars'!$B$52=3,'Time Series Data Inputs'!R21,0)))</f>
        <v>0.59272683807043403</v>
      </c>
      <c r="S22" s="94">
        <f>IF('Benefit Input Pars'!$B$52=1,'Time Series Data Inputs'!S19, IF('Benefit Input Pars'!$B$52=2,'Time Series Data Inputs'!S20, IF('Benefit Input Pars'!$B$52=3,'Time Series Data Inputs'!S21,0)))</f>
        <v>0.5822977477281418</v>
      </c>
      <c r="T22" s="94">
        <f>IF('Benefit Input Pars'!$B$52=1,'Time Series Data Inputs'!T19, IF('Benefit Input Pars'!$B$52=2,'Time Series Data Inputs'!T20, IF('Benefit Input Pars'!$B$52=3,'Time Series Data Inputs'!T21,0)))</f>
        <v>0.56143956704355746</v>
      </c>
      <c r="U22" s="94">
        <f>IF('Benefit Input Pars'!$B$52=1,'Time Series Data Inputs'!U19, IF('Benefit Input Pars'!$B$52=2,'Time Series Data Inputs'!U20, IF('Benefit Input Pars'!$B$52=3,'Time Series Data Inputs'!U21,0)))</f>
        <v>0.55101047670126524</v>
      </c>
      <c r="V22" s="94">
        <f>IF('Benefit Input Pars'!$B$52=1,'Time Series Data Inputs'!V19, IF('Benefit Input Pars'!$B$52=2,'Time Series Data Inputs'!V20, IF('Benefit Input Pars'!$B$52=3,'Time Series Data Inputs'!V21,0)))</f>
        <v>0.54058138635897302</v>
      </c>
      <c r="W22" s="94">
        <f>IF('Benefit Input Pars'!$B$52=1,'Time Series Data Inputs'!W19, IF('Benefit Input Pars'!$B$52=2,'Time Series Data Inputs'!W20, IF('Benefit Input Pars'!$B$52=3,'Time Series Data Inputs'!W21,0)))</f>
        <v>0.53015229601668079</v>
      </c>
      <c r="X22" s="50"/>
    </row>
    <row r="23" spans="1:24" customFormat="1" x14ac:dyDescent="0.25"/>
    <row r="24" spans="1:24" customFormat="1" x14ac:dyDescent="0.25">
      <c r="A24" s="1" t="s">
        <v>174</v>
      </c>
      <c r="D24" s="176">
        <v>2021</v>
      </c>
      <c r="E24" s="176">
        <v>2022</v>
      </c>
      <c r="F24" s="176">
        <v>2023</v>
      </c>
      <c r="G24" s="176">
        <v>2024</v>
      </c>
      <c r="H24" s="176">
        <v>2025</v>
      </c>
      <c r="I24" s="176">
        <v>2026</v>
      </c>
      <c r="J24" s="176">
        <v>2027</v>
      </c>
      <c r="K24" s="176">
        <v>2028</v>
      </c>
      <c r="L24" s="176">
        <v>2029</v>
      </c>
      <c r="M24" s="176">
        <v>2030</v>
      </c>
      <c r="N24" s="176">
        <v>2031</v>
      </c>
      <c r="O24" s="176">
        <v>2032</v>
      </c>
      <c r="P24" s="176">
        <v>2033</v>
      </c>
      <c r="Q24" s="176">
        <v>2034</v>
      </c>
      <c r="R24" s="176">
        <v>2035</v>
      </c>
      <c r="S24" s="176">
        <v>2036</v>
      </c>
      <c r="T24" s="176">
        <v>2037</v>
      </c>
      <c r="U24" s="176">
        <v>2038</v>
      </c>
      <c r="V24" s="176">
        <v>2039</v>
      </c>
      <c r="W24" s="176">
        <v>2040</v>
      </c>
    </row>
    <row r="25" spans="1:24" customFormat="1" x14ac:dyDescent="0.25">
      <c r="A25" t="s">
        <v>368</v>
      </c>
      <c r="B25" t="s">
        <v>171</v>
      </c>
      <c r="D25" s="29">
        <f>'Benefit Calcs'!F67</f>
        <v>0</v>
      </c>
      <c r="E25" s="29">
        <f>'Benefit Calcs'!G67</f>
        <v>634.36246539086187</v>
      </c>
      <c r="F25" s="29">
        <f>'Benefit Calcs'!H67</f>
        <v>1140.3844167141006</v>
      </c>
      <c r="G25" s="29">
        <f>'Benefit Calcs'!I67</f>
        <v>2021.6384096622924</v>
      </c>
      <c r="H25" s="29">
        <f>'Benefit Calcs'!J67</f>
        <v>3279.8868450136733</v>
      </c>
      <c r="I25" s="29">
        <f>'Benefit Calcs'!K67</f>
        <v>5070.9256127233548</v>
      </c>
      <c r="J25" s="29">
        <f>'Benefit Calcs'!L67</f>
        <v>7543.8562013508017</v>
      </c>
      <c r="K25" s="29">
        <f>'Benefit Calcs'!M67</f>
        <v>10527.093102837567</v>
      </c>
      <c r="L25" s="29">
        <f>'Benefit Calcs'!N67</f>
        <v>14312.604869330054</v>
      </c>
      <c r="M25" s="29">
        <f>'Benefit Calcs'!O67</f>
        <v>18477.676265814123</v>
      </c>
      <c r="N25" s="29">
        <f>'Benefit Calcs'!P67</f>
        <v>23681.054487070556</v>
      </c>
      <c r="O25" s="29">
        <f>'Benefit Calcs'!Q67</f>
        <v>29540.504784325967</v>
      </c>
      <c r="P25" s="29">
        <f>'Benefit Calcs'!R67</f>
        <v>35523.906932208251</v>
      </c>
      <c r="Q25" s="29">
        <f>'Benefit Calcs'!S67</f>
        <v>42755.277350690943</v>
      </c>
      <c r="R25" s="29">
        <f>'Benefit Calcs'!T67</f>
        <v>50737.721293111623</v>
      </c>
      <c r="S25" s="29">
        <f>'Benefit Calcs'!U67</f>
        <v>62527.241048977477</v>
      </c>
      <c r="T25" s="29">
        <f>'Benefit Calcs'!V67</f>
        <v>71911.614432298898</v>
      </c>
      <c r="U25" s="29">
        <f>'Benefit Calcs'!W67</f>
        <v>81371.968581466674</v>
      </c>
      <c r="V25" s="29">
        <f>'Benefit Calcs'!X67</f>
        <v>89884.01937772258</v>
      </c>
      <c r="W25" s="29">
        <f>'Benefit Calcs'!Y67</f>
        <v>97466.773782075703</v>
      </c>
    </row>
    <row r="26" spans="1:24" customFormat="1" x14ac:dyDescent="0.25">
      <c r="A26" s="91" t="s">
        <v>368</v>
      </c>
      <c r="B26" s="91" t="s">
        <v>172</v>
      </c>
      <c r="C26" s="91"/>
      <c r="D26" s="92">
        <f>D25-SUM($C$26:C26)</f>
        <v>0</v>
      </c>
      <c r="E26" s="92">
        <f>E25-SUM($C$26:D26)</f>
        <v>634.36246539086187</v>
      </c>
      <c r="F26" s="92">
        <f>F25-SUM($C$26:E26)</f>
        <v>506.02195132323868</v>
      </c>
      <c r="G26" s="92">
        <f>G25-SUM($C$26:F26)</f>
        <v>881.25399294819181</v>
      </c>
      <c r="H26" s="92">
        <f>H25-SUM($C$26:G26)</f>
        <v>1258.248435351381</v>
      </c>
      <c r="I26" s="92">
        <f>I25-SUM($C$26:H26)</f>
        <v>1791.0387677096815</v>
      </c>
      <c r="J26" s="92">
        <f>J25-SUM($C$26:I26)</f>
        <v>2472.9305886274469</v>
      </c>
      <c r="K26" s="92">
        <f>K25-SUM($C$26:J26)</f>
        <v>2983.2369014867654</v>
      </c>
      <c r="L26" s="92">
        <f>L25-SUM($C$26:K26)</f>
        <v>3785.5117664924874</v>
      </c>
      <c r="M26" s="92">
        <f>M25-SUM($C$26:L26)</f>
        <v>4165.0713964840688</v>
      </c>
      <c r="N26" s="92">
        <f>N25-SUM($C$26:M26)</f>
        <v>5203.3782212564329</v>
      </c>
      <c r="O26" s="92">
        <f>O25-SUM($C$26:N26)</f>
        <v>5859.450297255411</v>
      </c>
      <c r="P26" s="92">
        <f>P25-SUM($C$26:O26)</f>
        <v>5983.4021478822833</v>
      </c>
      <c r="Q26" s="92">
        <f>Q25-SUM($C$26:P26)</f>
        <v>7231.3704184826929</v>
      </c>
      <c r="R26" s="92">
        <f>R25-SUM($C$26:Q26)</f>
        <v>7982.4439424206794</v>
      </c>
      <c r="S26" s="92">
        <f>S25-SUM($C$26:R26)</f>
        <v>11789.519755865855</v>
      </c>
      <c r="T26" s="92">
        <f>T25-SUM($C$26:S26)</f>
        <v>9384.373383321421</v>
      </c>
      <c r="U26" s="92">
        <f>U25-SUM($C$26:T26)</f>
        <v>9460.3541491677752</v>
      </c>
      <c r="V26" s="92">
        <f>V25-SUM($C$26:U26)</f>
        <v>8512.0507962559059</v>
      </c>
      <c r="W26" s="92">
        <f>W25-SUM($C$26:V26)</f>
        <v>7582.7544043531234</v>
      </c>
    </row>
    <row r="27" spans="1:24" customFormat="1" x14ac:dyDescent="0.25">
      <c r="D27" s="29"/>
      <c r="E27" s="29"/>
      <c r="F27" s="29"/>
      <c r="G27" s="29"/>
      <c r="H27" s="29"/>
      <c r="I27" s="29"/>
      <c r="J27" s="29"/>
      <c r="K27" s="29"/>
      <c r="L27" s="29"/>
      <c r="M27" s="29"/>
      <c r="N27" s="29"/>
      <c r="O27" s="29"/>
      <c r="P27" s="29"/>
      <c r="Q27" s="29"/>
      <c r="R27" s="29"/>
      <c r="S27" s="29"/>
      <c r="T27" s="29"/>
      <c r="U27" s="29"/>
      <c r="V27" s="29"/>
      <c r="W27" s="29"/>
    </row>
    <row r="28" spans="1:24" customFormat="1" x14ac:dyDescent="0.25">
      <c r="A28" s="1" t="s">
        <v>173</v>
      </c>
    </row>
    <row r="29" spans="1:24" customFormat="1" x14ac:dyDescent="0.25">
      <c r="A29" s="56" t="s">
        <v>368</v>
      </c>
      <c r="B29" t="s">
        <v>171</v>
      </c>
      <c r="D29" s="29">
        <f>'Benefit Calcs'!F72</f>
        <v>0</v>
      </c>
      <c r="E29" s="29">
        <f>'Benefit Calcs'!G72</f>
        <v>380.61747923451702</v>
      </c>
      <c r="F29" s="29">
        <f>'Benefit Calcs'!H72</f>
        <v>684.23065002846022</v>
      </c>
      <c r="G29" s="29">
        <f>'Benefit Calcs'!I72</f>
        <v>1212.9830457973753</v>
      </c>
      <c r="H29" s="29">
        <f>'Benefit Calcs'!J72</f>
        <v>1967.9321070082035</v>
      </c>
      <c r="I29" s="29">
        <f>'Benefit Calcs'!K72</f>
        <v>3042.5553676340119</v>
      </c>
      <c r="J29" s="29">
        <f>'Benefit Calcs'!L72</f>
        <v>4526.3137208104808</v>
      </c>
      <c r="K29" s="29">
        <f>'Benefit Calcs'!M72</f>
        <v>6316.2558617025406</v>
      </c>
      <c r="L29" s="29">
        <f>'Benefit Calcs'!N72</f>
        <v>8587.5629215980334</v>
      </c>
      <c r="M29" s="29">
        <f>'Benefit Calcs'!O72</f>
        <v>11086.605759488473</v>
      </c>
      <c r="N29" s="29">
        <f>'Benefit Calcs'!P72</f>
        <v>14208.632692242332</v>
      </c>
      <c r="O29" s="29">
        <f>'Benefit Calcs'!Q72</f>
        <v>17724.302870595577</v>
      </c>
      <c r="P29" s="29">
        <f>'Benefit Calcs'!R72</f>
        <v>21314.344159324952</v>
      </c>
      <c r="Q29" s="29">
        <f>'Benefit Calcs'!S72</f>
        <v>25653.166410414575</v>
      </c>
      <c r="R29" s="29">
        <f>'Benefit Calcs'!T72</f>
        <v>30442.632775866972</v>
      </c>
      <c r="S29" s="29">
        <f>'Benefit Calcs'!U72</f>
        <v>37516.344629386491</v>
      </c>
      <c r="T29" s="29">
        <f>'Benefit Calcs'!V72</f>
        <v>43146.968659379323</v>
      </c>
      <c r="U29" s="29">
        <f>'Benefit Calcs'!W72</f>
        <v>48823.181148880001</v>
      </c>
      <c r="V29" s="29">
        <f>'Benefit Calcs'!X72</f>
        <v>53930.411626633548</v>
      </c>
      <c r="W29" s="29">
        <f>'Benefit Calcs'!Y72</f>
        <v>58480.064269245413</v>
      </c>
      <c r="X29" s="29"/>
    </row>
    <row r="30" spans="1:24" customFormat="1" x14ac:dyDescent="0.25">
      <c r="A30" s="91" t="s">
        <v>368</v>
      </c>
      <c r="B30" s="91" t="s">
        <v>172</v>
      </c>
      <c r="C30" s="91"/>
      <c r="D30" s="92">
        <f>D29-SUM($C$30:C30)</f>
        <v>0</v>
      </c>
      <c r="E30" s="92">
        <f>E29-SUM($C$30:D30)</f>
        <v>380.61747923451702</v>
      </c>
      <c r="F30" s="92">
        <f>F29-SUM($C$30:E30)</f>
        <v>303.6131707939432</v>
      </c>
      <c r="G30" s="92">
        <f>G29-SUM($C$30:F30)</f>
        <v>528.75239576891511</v>
      </c>
      <c r="H30" s="92">
        <f>H29-SUM($C$30:G30)</f>
        <v>754.94906121082818</v>
      </c>
      <c r="I30" s="92">
        <f>I29-SUM($C$30:H30)</f>
        <v>1074.6232606258084</v>
      </c>
      <c r="J30" s="92">
        <f>J29-SUM($C$30:I30)</f>
        <v>1483.758353176469</v>
      </c>
      <c r="K30" s="92">
        <f>K29-SUM($C$30:J30)</f>
        <v>1789.9421408920598</v>
      </c>
      <c r="L30" s="92">
        <f>L29-SUM($C$30:K30)</f>
        <v>2271.3070598954928</v>
      </c>
      <c r="M30" s="92">
        <f>M29-SUM($C$30:L30)</f>
        <v>2499.0428378904398</v>
      </c>
      <c r="N30" s="92">
        <f>N29-SUM($C$30:M30)</f>
        <v>3122.026932753859</v>
      </c>
      <c r="O30" s="92">
        <f>O29-SUM($C$30:N30)</f>
        <v>3515.6701783532444</v>
      </c>
      <c r="P30" s="92">
        <f>P29-SUM($C$30:O30)</f>
        <v>3590.0412887293751</v>
      </c>
      <c r="Q30" s="92">
        <f>Q29-SUM($C$30:P30)</f>
        <v>4338.822251089623</v>
      </c>
      <c r="R30" s="92">
        <f>R29-SUM($C$30:Q30)</f>
        <v>4789.4663654523974</v>
      </c>
      <c r="S30" s="92">
        <f>S29-SUM($C$30:R30)</f>
        <v>7073.7118535195186</v>
      </c>
      <c r="T30" s="92">
        <f>T29-SUM($C$30:S30)</f>
        <v>5630.6240299928322</v>
      </c>
      <c r="U30" s="92">
        <f>U29-SUM($C$30:T30)</f>
        <v>5676.2124895006782</v>
      </c>
      <c r="V30" s="92">
        <f>V29-SUM($C$30:U30)</f>
        <v>5107.2304777535464</v>
      </c>
      <c r="W30" s="92">
        <f>W29-SUM($C$30:V30)</f>
        <v>4549.6526426118653</v>
      </c>
    </row>
    <row r="31" spans="1:24" customFormat="1" x14ac:dyDescent="0.25">
      <c r="D31" s="29"/>
      <c r="E31" s="29"/>
      <c r="F31" s="29"/>
      <c r="G31" s="29"/>
      <c r="H31" s="29"/>
      <c r="I31" s="29"/>
      <c r="J31" s="29"/>
      <c r="K31" s="29"/>
      <c r="L31" s="29"/>
      <c r="M31" s="29"/>
      <c r="N31" s="29"/>
      <c r="O31" s="29"/>
      <c r="P31" s="29"/>
      <c r="Q31" s="29"/>
      <c r="R31" s="29"/>
      <c r="S31" s="29"/>
      <c r="T31" s="29"/>
      <c r="U31" s="29"/>
      <c r="V31" s="29"/>
      <c r="W31" s="29"/>
    </row>
    <row r="32" spans="1:24" customFormat="1" x14ac:dyDescent="0.25">
      <c r="A32" s="1" t="s">
        <v>175</v>
      </c>
    </row>
    <row r="33" spans="1:23" customFormat="1" x14ac:dyDescent="0.25">
      <c r="A33" s="56" t="s">
        <v>368</v>
      </c>
      <c r="B33" t="s">
        <v>171</v>
      </c>
      <c r="D33" s="29">
        <f>'Benefit Calcs'!F77</f>
        <v>0</v>
      </c>
      <c r="E33" s="29">
        <f>'Benefit Calcs'!G77</f>
        <v>0</v>
      </c>
      <c r="F33" s="29">
        <f>'Benefit Calcs'!H77</f>
        <v>152.05125556188</v>
      </c>
      <c r="G33" s="29">
        <f>'Benefit Calcs'!I77</f>
        <v>269.55178795497227</v>
      </c>
      <c r="H33" s="29">
        <f>'Benefit Calcs'!J77</f>
        <v>437.3182460018229</v>
      </c>
      <c r="I33" s="29">
        <f>'Benefit Calcs'!K77</f>
        <v>676.12341502978052</v>
      </c>
      <c r="J33" s="29">
        <f>'Benefit Calcs'!L77</f>
        <v>1005.8474935134404</v>
      </c>
      <c r="K33" s="29">
        <f>'Benefit Calcs'!M77</f>
        <v>1403.6124137116758</v>
      </c>
      <c r="L33" s="29">
        <f>'Benefit Calcs'!N77</f>
        <v>1908.3473159106734</v>
      </c>
      <c r="M33" s="29">
        <f>'Benefit Calcs'!O77</f>
        <v>2463.6901687752161</v>
      </c>
      <c r="N33" s="29">
        <f>'Benefit Calcs'!P77</f>
        <v>3157.4739316094074</v>
      </c>
      <c r="O33" s="29">
        <f>'Benefit Calcs'!Q77</f>
        <v>3938.7339712434605</v>
      </c>
      <c r="P33" s="29">
        <f>'Benefit Calcs'!R77</f>
        <v>4736.5209242944329</v>
      </c>
      <c r="Q33" s="29">
        <f>'Benefit Calcs'!S77</f>
        <v>5700.7036467587968</v>
      </c>
      <c r="R33" s="29">
        <f>'Benefit Calcs'!T77</f>
        <v>6765.0295057482108</v>
      </c>
      <c r="S33" s="29">
        <f>'Benefit Calcs'!U77</f>
        <v>8336.9654731969931</v>
      </c>
      <c r="T33" s="29">
        <f>'Benefit Calcs'!V77</f>
        <v>9588.2152576398512</v>
      </c>
      <c r="U33" s="29">
        <f>'Benefit Calcs'!W77</f>
        <v>10849.595810862222</v>
      </c>
      <c r="V33" s="29">
        <f>'Benefit Calcs'!X77</f>
        <v>11984.53591702968</v>
      </c>
      <c r="W33" s="29">
        <f>'Benefit Calcs'!Y77</f>
        <v>12995.569837610092</v>
      </c>
    </row>
    <row r="34" spans="1:23" customFormat="1" x14ac:dyDescent="0.25">
      <c r="A34" s="91" t="s">
        <v>368</v>
      </c>
      <c r="B34" s="91" t="s">
        <v>172</v>
      </c>
      <c r="C34" s="91"/>
      <c r="D34" s="92">
        <f>D33-SUM($C$34:C34)</f>
        <v>0</v>
      </c>
      <c r="E34" s="92">
        <f>E33-SUM($C$34:D34)</f>
        <v>0</v>
      </c>
      <c r="F34" s="92">
        <f>F33-SUM($C$34:E34)</f>
        <v>152.05125556188</v>
      </c>
      <c r="G34" s="92">
        <f>G33-SUM($C$34:F34)</f>
        <v>117.50053239309227</v>
      </c>
      <c r="H34" s="92">
        <f>H33-SUM($C$34:G34)</f>
        <v>167.76645804685063</v>
      </c>
      <c r="I34" s="92">
        <f>I33-SUM($C$34:H34)</f>
        <v>238.80516902795762</v>
      </c>
      <c r="J34" s="92">
        <f>J33-SUM($C$34:I34)</f>
        <v>329.72407848365992</v>
      </c>
      <c r="K34" s="92">
        <f>K33-SUM($C$34:J34)</f>
        <v>397.76492019823536</v>
      </c>
      <c r="L34" s="92">
        <f>L33-SUM($C$34:K34)</f>
        <v>504.73490219899759</v>
      </c>
      <c r="M34" s="92">
        <f>M33-SUM($C$34:L34)</f>
        <v>555.34285286454269</v>
      </c>
      <c r="N34" s="92">
        <f>N33-SUM($C$34:M34)</f>
        <v>693.78376283419129</v>
      </c>
      <c r="O34" s="92">
        <f>O33-SUM($C$34:N34)</f>
        <v>781.2600396340531</v>
      </c>
      <c r="P34" s="92">
        <f>P33-SUM($C$34:O34)</f>
        <v>797.78695305097244</v>
      </c>
      <c r="Q34" s="92">
        <f>Q33-SUM($C$34:P34)</f>
        <v>964.18272246436391</v>
      </c>
      <c r="R34" s="92">
        <f>R33-SUM($C$34:Q34)</f>
        <v>1064.325858989414</v>
      </c>
      <c r="S34" s="92">
        <f>S33-SUM($C$34:R34)</f>
        <v>1571.9359674487823</v>
      </c>
      <c r="T34" s="92">
        <f>T33-SUM($C$34:S34)</f>
        <v>1251.2497844428581</v>
      </c>
      <c r="U34" s="92">
        <f>U33-SUM($C$34:T34)</f>
        <v>1261.3805532223705</v>
      </c>
      <c r="V34" s="92">
        <f>V33-SUM($C$34:U34)</f>
        <v>1134.940106167458</v>
      </c>
      <c r="W34" s="92">
        <f>W33-SUM($C$34:V34)</f>
        <v>1011.0339205804121</v>
      </c>
    </row>
    <row r="35" spans="1:23" customFormat="1" x14ac:dyDescent="0.25"/>
    <row r="36" spans="1:23" customFormat="1" x14ac:dyDescent="0.25">
      <c r="A36" s="1" t="s">
        <v>364</v>
      </c>
    </row>
    <row r="37" spans="1:23" customFormat="1" x14ac:dyDescent="0.25">
      <c r="A37" t="s">
        <v>367</v>
      </c>
      <c r="B37" t="s">
        <v>176</v>
      </c>
      <c r="D37" s="29">
        <f>'Benefit Calcs'!F33</f>
        <v>0</v>
      </c>
      <c r="E37" s="29">
        <f>'Benefit Calcs'!G33</f>
        <v>2.5</v>
      </c>
      <c r="F37" s="29">
        <f>'Benefit Calcs'!H33</f>
        <v>5.25</v>
      </c>
      <c r="G37" s="29">
        <f>'Benefit Calcs'!I33</f>
        <v>8.2750000000000004</v>
      </c>
      <c r="H37" s="29">
        <f>'Benefit Calcs'!J33</f>
        <v>11.602499999999999</v>
      </c>
      <c r="I37" s="29">
        <f>'Benefit Calcs'!K33</f>
        <v>15.26275</v>
      </c>
      <c r="J37" s="29">
        <f>'Benefit Calcs'!L33</f>
        <v>19.289025000000002</v>
      </c>
      <c r="K37" s="29">
        <f>'Benefit Calcs'!M33</f>
        <v>23.717927500000002</v>
      </c>
      <c r="L37" s="29">
        <f>'Benefit Calcs'!N33</f>
        <v>28.589720250000003</v>
      </c>
      <c r="M37" s="29">
        <f>'Benefit Calcs'!O33</f>
        <v>33.948692274999999</v>
      </c>
      <c r="N37" s="29">
        <f>'Benefit Calcs'!P33</f>
        <v>39.843561502500002</v>
      </c>
      <c r="O37" s="29">
        <f>'Benefit Calcs'!Q33</f>
        <v>46.327917652750003</v>
      </c>
      <c r="P37" s="29">
        <f>'Benefit Calcs'!R33</f>
        <v>53.460709418024997</v>
      </c>
      <c r="Q37" s="29">
        <f>'Benefit Calcs'!S33</f>
        <v>61.306780359827499</v>
      </c>
      <c r="R37" s="29">
        <f>'Benefit Calcs'!T33</f>
        <v>69.937458395810239</v>
      </c>
      <c r="S37" s="29">
        <f>'Benefit Calcs'!U33</f>
        <v>79.431204235391263</v>
      </c>
      <c r="T37" s="29">
        <f>'Benefit Calcs'!V33</f>
        <v>89.874324658930391</v>
      </c>
      <c r="U37" s="29">
        <f>'Benefit Calcs'!W33</f>
        <v>101.36175712482343</v>
      </c>
      <c r="V37" s="29">
        <f>'Benefit Calcs'!X33</f>
        <v>113.99793283730578</v>
      </c>
      <c r="W37" s="29">
        <f>'Benefit Calcs'!Y33</f>
        <v>127.89772612103637</v>
      </c>
    </row>
    <row r="38" spans="1:23" customFormat="1" x14ac:dyDescent="0.25">
      <c r="A38" s="91" t="s">
        <v>367</v>
      </c>
      <c r="B38" s="91" t="s">
        <v>190</v>
      </c>
      <c r="C38" s="91"/>
      <c r="D38" s="92">
        <f>D37-SUM($C$38:C38)</f>
        <v>0</v>
      </c>
      <c r="E38" s="92">
        <f>E37-SUM($C$38:D38)</f>
        <v>2.5</v>
      </c>
      <c r="F38" s="92">
        <f>F37-SUM($C$38:E38)</f>
        <v>2.75</v>
      </c>
      <c r="G38" s="92">
        <f>G37-SUM($C$38:F38)</f>
        <v>3.0250000000000004</v>
      </c>
      <c r="H38" s="92">
        <f>H37-SUM($C$38:G38)</f>
        <v>3.3274999999999988</v>
      </c>
      <c r="I38" s="92">
        <f>I37-SUM($C$38:H38)</f>
        <v>3.6602500000000013</v>
      </c>
      <c r="J38" s="92">
        <f>J37-SUM($C$38:I38)</f>
        <v>4.0262750000000018</v>
      </c>
      <c r="K38" s="92">
        <f>K37-SUM($C$38:J38)</f>
        <v>4.4289024999999995</v>
      </c>
      <c r="L38" s="92">
        <f>L37-SUM($C$38:K38)</f>
        <v>4.8717927500000009</v>
      </c>
      <c r="M38" s="92">
        <f>M37-SUM($C$38:L38)</f>
        <v>5.3589720249999964</v>
      </c>
      <c r="N38" s="92">
        <f>N37-SUM($C$38:M38)</f>
        <v>5.8948692275000028</v>
      </c>
      <c r="O38" s="92">
        <f>O37-SUM($C$38:N38)</f>
        <v>6.4843561502500009</v>
      </c>
      <c r="P38" s="92">
        <f>P37-SUM($C$38:O38)</f>
        <v>7.1327917652749946</v>
      </c>
      <c r="Q38" s="92">
        <f>Q37-SUM($C$38:P38)</f>
        <v>7.8460709418025019</v>
      </c>
      <c r="R38" s="92">
        <f>R37-SUM($C$38:Q38)</f>
        <v>8.63067803598274</v>
      </c>
      <c r="S38" s="92">
        <f>S37-SUM($C$38:R38)</f>
        <v>9.4937458395810239</v>
      </c>
      <c r="T38" s="92">
        <f>T37-SUM($C$38:S38)</f>
        <v>10.443120423539128</v>
      </c>
      <c r="U38" s="92">
        <f>U37-SUM($C$38:T38)</f>
        <v>11.487432465893036</v>
      </c>
      <c r="V38" s="92">
        <f>V37-SUM($C$38:U38)</f>
        <v>12.636175712482355</v>
      </c>
      <c r="W38" s="92">
        <f>W37-SUM($C$38:V38)</f>
        <v>13.899793283730588</v>
      </c>
    </row>
    <row r="39" spans="1:23" customFormat="1" x14ac:dyDescent="0.25"/>
    <row r="40" spans="1:23" customFormat="1" x14ac:dyDescent="0.25">
      <c r="A40" s="1" t="s">
        <v>364</v>
      </c>
    </row>
    <row r="41" spans="1:23" customFormat="1" x14ac:dyDescent="0.25">
      <c r="A41" s="56" t="s">
        <v>367</v>
      </c>
      <c r="B41" t="s">
        <v>176</v>
      </c>
      <c r="D41" s="29">
        <f>'Benefit Calcs'!F89</f>
        <v>0</v>
      </c>
      <c r="E41" s="29">
        <f>'Benefit Calcs'!G89</f>
        <v>3.8132999999999999</v>
      </c>
      <c r="F41" s="29">
        <f>'Benefit Calcs'!H89</f>
        <v>7.8765999999999998</v>
      </c>
      <c r="G41" s="29">
        <f>'Benefit Calcs'!I89</f>
        <v>12.2149</v>
      </c>
      <c r="H41" s="29">
        <f>'Benefit Calcs'!J89</f>
        <v>16.855699999999999</v>
      </c>
      <c r="I41" s="29">
        <f>'Benefit Calcs'!K89</f>
        <v>21.829249999999998</v>
      </c>
      <c r="J41" s="29">
        <f>'Benefit Calcs'!L89</f>
        <v>25.855525</v>
      </c>
      <c r="K41" s="29">
        <f>'Benefit Calcs'!M89</f>
        <v>30.2844275</v>
      </c>
      <c r="L41" s="29">
        <f>'Benefit Calcs'!N89</f>
        <v>35.156220250000004</v>
      </c>
      <c r="M41" s="29">
        <f>'Benefit Calcs'!O89</f>
        <v>40.515192274999997</v>
      </c>
      <c r="N41" s="29">
        <f>'Benefit Calcs'!P89</f>
        <v>46.4100615025</v>
      </c>
      <c r="O41" s="29">
        <f>'Benefit Calcs'!Q89</f>
        <v>52.894417652750001</v>
      </c>
      <c r="P41" s="29">
        <f>'Benefit Calcs'!R89</f>
        <v>60.027209418024995</v>
      </c>
      <c r="Q41" s="29">
        <f>'Benefit Calcs'!S89</f>
        <v>67.873280359827504</v>
      </c>
      <c r="R41" s="29">
        <f>'Benefit Calcs'!T89</f>
        <v>76.50395839581023</v>
      </c>
      <c r="S41" s="29">
        <f>'Benefit Calcs'!U89</f>
        <v>85.997704235391268</v>
      </c>
      <c r="T41" s="29">
        <f>'Benefit Calcs'!V89</f>
        <v>96.440824658930381</v>
      </c>
      <c r="U41" s="29">
        <f>'Benefit Calcs'!W89</f>
        <v>107.92825712482343</v>
      </c>
      <c r="V41" s="29">
        <f>'Benefit Calcs'!X89</f>
        <v>120.56443283730579</v>
      </c>
      <c r="W41" s="29">
        <f>'Benefit Calcs'!Y89</f>
        <v>134.46422612103638</v>
      </c>
    </row>
    <row r="42" spans="1:23" customFormat="1" x14ac:dyDescent="0.25">
      <c r="A42" s="91" t="s">
        <v>367</v>
      </c>
      <c r="B42" s="91" t="s">
        <v>190</v>
      </c>
      <c r="C42" s="91"/>
      <c r="D42" s="92">
        <f>D41-SUM($C$38:C42)</f>
        <v>0</v>
      </c>
      <c r="E42" s="92">
        <f>E41-SUM($C$42:D42)</f>
        <v>3.8132999999999999</v>
      </c>
      <c r="F42" s="92">
        <f>F41-SUM($C$42:E42)</f>
        <v>4.0632999999999999</v>
      </c>
      <c r="G42" s="92">
        <f>G41-SUM($C$42:F42)</f>
        <v>4.3383000000000003</v>
      </c>
      <c r="H42" s="92">
        <f>H41-SUM($C$42:G42)</f>
        <v>4.6407999999999987</v>
      </c>
      <c r="I42" s="92">
        <f>I41-SUM($C$42:H42)</f>
        <v>4.9735499999999995</v>
      </c>
      <c r="J42" s="92">
        <f>J41-SUM($C$42:I42)</f>
        <v>4.0262750000000018</v>
      </c>
      <c r="K42" s="92">
        <f>K41-SUM($C$42:J42)</f>
        <v>4.4289024999999995</v>
      </c>
      <c r="L42" s="92">
        <f>L41-SUM($C$42:K42)</f>
        <v>4.8717927500000044</v>
      </c>
      <c r="M42" s="92">
        <f>M41-SUM($C$42:L42)</f>
        <v>5.3589720249999928</v>
      </c>
      <c r="N42" s="92">
        <f>N41-SUM($C$42:M42)</f>
        <v>5.8948692275000028</v>
      </c>
      <c r="O42" s="92">
        <f>O41-SUM($C$42:N42)</f>
        <v>6.4843561502500009</v>
      </c>
      <c r="P42" s="92">
        <f>P41-SUM($C$42:O42)</f>
        <v>7.1327917652749946</v>
      </c>
      <c r="Q42" s="92">
        <f>Q41-SUM($C$42:P42)</f>
        <v>7.846070941802509</v>
      </c>
      <c r="R42" s="92">
        <f>R41-SUM($C$42:Q42)</f>
        <v>8.6306780359827258</v>
      </c>
      <c r="S42" s="92">
        <f>S41-SUM($C$42:R42)</f>
        <v>9.4937458395810381</v>
      </c>
      <c r="T42" s="92">
        <f>T41-SUM($C$42:S42)</f>
        <v>10.443120423539114</v>
      </c>
      <c r="U42" s="92">
        <f>U41-SUM($C$42:T42)</f>
        <v>11.48743246589305</v>
      </c>
      <c r="V42" s="92">
        <f>V41-SUM($C$42:U42)</f>
        <v>12.636175712482355</v>
      </c>
      <c r="W42" s="92">
        <f>W41-SUM($C$42:V42)</f>
        <v>13.899793283730588</v>
      </c>
    </row>
    <row r="43" spans="1:23" customFormat="1" x14ac:dyDescent="0.25"/>
    <row r="44" spans="1:23" customFormat="1" x14ac:dyDescent="0.25"/>
    <row r="45" spans="1:23" customFormat="1" x14ac:dyDescent="0.25"/>
    <row r="46" spans="1:23" customFormat="1" x14ac:dyDescent="0.25"/>
    <row r="47" spans="1:23" customFormat="1" x14ac:dyDescent="0.25"/>
    <row r="48" spans="1:23" customFormat="1" x14ac:dyDescent="0.25"/>
    <row r="49" spans="4:23" customFormat="1" x14ac:dyDescent="0.25"/>
    <row r="50" spans="4:23" x14ac:dyDescent="0.25">
      <c r="D50" s="51"/>
      <c r="E50" s="51"/>
    </row>
    <row r="51" spans="4:23" x14ac:dyDescent="0.25">
      <c r="D51" s="51"/>
      <c r="E51" s="51"/>
    </row>
    <row r="52" spans="4:23" x14ac:dyDescent="0.25">
      <c r="D52" s="51"/>
      <c r="E52" s="51"/>
      <c r="F52" s="53"/>
      <c r="G52" s="53"/>
      <c r="H52" s="53"/>
      <c r="I52" s="53"/>
      <c r="J52" s="53"/>
      <c r="K52" s="53"/>
      <c r="L52" s="53"/>
      <c r="M52" s="53"/>
      <c r="N52" s="53"/>
      <c r="O52" s="53"/>
      <c r="P52" s="53"/>
      <c r="Q52" s="53"/>
      <c r="R52" s="53"/>
      <c r="S52" s="53"/>
      <c r="T52" s="53"/>
      <c r="U52" s="53"/>
      <c r="V52" s="53"/>
      <c r="W52" s="53"/>
    </row>
    <row r="53" spans="4:23" x14ac:dyDescent="0.25">
      <c r="D53" s="51"/>
      <c r="E53" s="51"/>
    </row>
    <row r="54" spans="4:23" x14ac:dyDescent="0.25">
      <c r="D54" s="51"/>
      <c r="E54" s="51"/>
    </row>
    <row r="55" spans="4:23" x14ac:dyDescent="0.25">
      <c r="D55" s="51"/>
      <c r="E55" s="51"/>
    </row>
    <row r="56" spans="4:23" x14ac:dyDescent="0.25">
      <c r="D56" s="51"/>
      <c r="E56" s="51"/>
    </row>
    <row r="57" spans="4:23" x14ac:dyDescent="0.25">
      <c r="D57" s="51"/>
      <c r="E57" s="51"/>
    </row>
    <row r="58" spans="4:23" x14ac:dyDescent="0.25">
      <c r="D58" s="51"/>
      <c r="E58" s="51"/>
    </row>
    <row r="59" spans="4:23" x14ac:dyDescent="0.25">
      <c r="D59" s="51"/>
      <c r="E59" s="51"/>
    </row>
    <row r="60" spans="4:23" x14ac:dyDescent="0.25">
      <c r="D60" s="51"/>
      <c r="E60" s="51"/>
    </row>
    <row r="61" spans="4:23" x14ac:dyDescent="0.25">
      <c r="D61" s="51"/>
      <c r="E61" s="51"/>
    </row>
    <row r="62" spans="4:23" x14ac:dyDescent="0.25">
      <c r="D62" s="51"/>
      <c r="E62" s="51"/>
    </row>
    <row r="63" spans="4:23" x14ac:dyDescent="0.25">
      <c r="D63" s="51"/>
      <c r="E63" s="51"/>
    </row>
    <row r="64" spans="4:23" x14ac:dyDescent="0.25">
      <c r="D64" s="51"/>
      <c r="E64" s="51"/>
    </row>
    <row r="65" spans="4:5" x14ac:dyDescent="0.25">
      <c r="D65" s="51"/>
      <c r="E65" s="51"/>
    </row>
    <row r="66" spans="4:5" x14ac:dyDescent="0.25">
      <c r="D66" s="51"/>
      <c r="E66" s="51"/>
    </row>
    <row r="67" spans="4:5" x14ac:dyDescent="0.25">
      <c r="D67" s="51"/>
      <c r="E67" s="51"/>
    </row>
    <row r="68" spans="4:5" x14ac:dyDescent="0.25">
      <c r="D68" s="51"/>
      <c r="E68" s="51"/>
    </row>
    <row r="69" spans="4:5" x14ac:dyDescent="0.25">
      <c r="D69" s="51"/>
      <c r="E69" s="51"/>
    </row>
    <row r="70" spans="4:5" x14ac:dyDescent="0.25">
      <c r="D70" s="51"/>
      <c r="E70" s="51"/>
    </row>
    <row r="71" spans="4:5" x14ac:dyDescent="0.25">
      <c r="D71" s="51"/>
      <c r="E71" s="51"/>
    </row>
    <row r="72" spans="4:5" x14ac:dyDescent="0.25">
      <c r="D72" s="51"/>
      <c r="E72" s="51"/>
    </row>
    <row r="73" spans="4:5" x14ac:dyDescent="0.25">
      <c r="D73" s="51"/>
      <c r="E73" s="51"/>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B1:AA44"/>
  <sheetViews>
    <sheetView showGridLines="0" zoomScale="85" zoomScaleNormal="85" workbookViewId="0">
      <selection activeCell="J22" sqref="J22"/>
    </sheetView>
  </sheetViews>
  <sheetFormatPr defaultColWidth="9.140625" defaultRowHeight="15" x14ac:dyDescent="0.25"/>
  <cols>
    <col min="1" max="1" width="3.5703125" style="26" customWidth="1"/>
    <col min="2" max="2" width="72.28515625" style="26" bestFit="1" customWidth="1"/>
    <col min="3" max="5" width="12.7109375" style="26" customWidth="1"/>
    <col min="6" max="6" width="11.7109375" style="26" customWidth="1"/>
    <col min="7" max="7" width="12.140625" style="26" customWidth="1"/>
    <col min="8" max="17" width="10.140625" style="26" customWidth="1"/>
    <col min="18" max="18" width="13.85546875" style="26" bestFit="1" customWidth="1"/>
    <col min="19" max="27" width="10.140625" style="26" customWidth="1"/>
    <col min="28" max="16384" width="9.140625" style="26"/>
  </cols>
  <sheetData>
    <row r="1" spans="2:27" ht="21" x14ac:dyDescent="0.35">
      <c r="H1" s="73" t="s">
        <v>2</v>
      </c>
    </row>
    <row r="2" spans="2:27" x14ac:dyDescent="0.25">
      <c r="B2" s="89" t="s">
        <v>204</v>
      </c>
      <c r="C2" s="89"/>
      <c r="D2" s="89"/>
      <c r="E2" s="89"/>
      <c r="F2" s="186" t="s">
        <v>215</v>
      </c>
      <c r="G2" s="187">
        <f>'Benefit Input Pars'!B18</f>
        <v>2022</v>
      </c>
      <c r="H2" s="186" t="s">
        <v>216</v>
      </c>
      <c r="I2" s="188">
        <f>'Benefit Input Pars'!B19</f>
        <v>5</v>
      </c>
      <c r="J2" s="89"/>
      <c r="K2" s="89"/>
      <c r="L2" s="89"/>
      <c r="M2" s="89"/>
      <c r="N2" s="89"/>
      <c r="O2" s="89"/>
      <c r="P2" s="89"/>
      <c r="Q2" s="89"/>
      <c r="R2" s="89"/>
      <c r="S2" s="89"/>
      <c r="T2" s="89"/>
      <c r="U2" s="89"/>
      <c r="V2" s="89"/>
      <c r="W2" s="89"/>
      <c r="X2" s="89"/>
      <c r="Y2" s="89"/>
      <c r="Z2" s="89"/>
      <c r="AA2" s="89"/>
    </row>
    <row r="3" spans="2:27" x14ac:dyDescent="0.25">
      <c r="B3" s="89" t="s">
        <v>205</v>
      </c>
      <c r="C3" s="89" t="s">
        <v>206</v>
      </c>
      <c r="D3" s="95" t="s">
        <v>360</v>
      </c>
      <c r="E3" s="95" t="s">
        <v>361</v>
      </c>
      <c r="F3" s="89" t="s">
        <v>362</v>
      </c>
      <c r="G3" s="89" t="s">
        <v>363</v>
      </c>
      <c r="H3" s="89">
        <v>2021</v>
      </c>
      <c r="I3" s="89">
        <v>2022</v>
      </c>
      <c r="J3" s="89">
        <v>2023</v>
      </c>
      <c r="K3" s="89">
        <v>2024</v>
      </c>
      <c r="L3" s="89">
        <v>2025</v>
      </c>
      <c r="M3" s="89">
        <v>2026</v>
      </c>
      <c r="N3" s="89">
        <v>2027</v>
      </c>
      <c r="O3" s="89">
        <v>2028</v>
      </c>
      <c r="P3" s="89">
        <v>2029</v>
      </c>
      <c r="Q3" s="89">
        <v>2030</v>
      </c>
      <c r="R3" s="89">
        <v>2031</v>
      </c>
      <c r="S3" s="89">
        <v>2032</v>
      </c>
      <c r="T3" s="89">
        <v>2033</v>
      </c>
      <c r="U3" s="89">
        <v>2034</v>
      </c>
      <c r="V3" s="89">
        <v>2035</v>
      </c>
      <c r="W3" s="89">
        <v>2036</v>
      </c>
      <c r="X3" s="89">
        <v>2037</v>
      </c>
      <c r="Y3" s="89">
        <v>2038</v>
      </c>
      <c r="Z3" s="89">
        <v>2039</v>
      </c>
      <c r="AA3" s="89">
        <v>2040</v>
      </c>
    </row>
    <row r="4" spans="2:27" x14ac:dyDescent="0.25">
      <c r="B4" s="26" t="s">
        <v>208</v>
      </c>
      <c r="C4" s="9">
        <f>'Benefit Input Pars'!B20</f>
        <v>0.1</v>
      </c>
      <c r="D4" s="177">
        <f>4645+1135</f>
        <v>5780</v>
      </c>
      <c r="E4" s="178">
        <f>SUM(H4:AA4)</f>
        <v>578</v>
      </c>
      <c r="F4" s="179"/>
      <c r="G4" s="179"/>
      <c r="H4" s="69">
        <f t="shared" ref="H4:AA4" si="0">IF(H3&gt;=$G$2,IF($G$2+$I$2&gt;H3,1,0),0)*$D$4*$C$4/$I$2</f>
        <v>0</v>
      </c>
      <c r="I4" s="69">
        <f t="shared" si="0"/>
        <v>115.6</v>
      </c>
      <c r="J4" s="69">
        <f t="shared" si="0"/>
        <v>115.6</v>
      </c>
      <c r="K4" s="69">
        <f t="shared" si="0"/>
        <v>115.6</v>
      </c>
      <c r="L4" s="69">
        <f t="shared" si="0"/>
        <v>115.6</v>
      </c>
      <c r="M4" s="69">
        <f t="shared" si="0"/>
        <v>115.6</v>
      </c>
      <c r="N4" s="69">
        <f t="shared" si="0"/>
        <v>0</v>
      </c>
      <c r="O4" s="69">
        <f t="shared" si="0"/>
        <v>0</v>
      </c>
      <c r="P4" s="69">
        <f t="shared" si="0"/>
        <v>0</v>
      </c>
      <c r="Q4" s="69">
        <f t="shared" si="0"/>
        <v>0</v>
      </c>
      <c r="R4" s="69">
        <f t="shared" si="0"/>
        <v>0</v>
      </c>
      <c r="S4" s="69">
        <f t="shared" si="0"/>
        <v>0</v>
      </c>
      <c r="T4" s="69">
        <f t="shared" si="0"/>
        <v>0</v>
      </c>
      <c r="U4" s="69">
        <f t="shared" si="0"/>
        <v>0</v>
      </c>
      <c r="V4" s="69">
        <f t="shared" si="0"/>
        <v>0</v>
      </c>
      <c r="W4" s="69">
        <f t="shared" si="0"/>
        <v>0</v>
      </c>
      <c r="X4" s="69">
        <f t="shared" si="0"/>
        <v>0</v>
      </c>
      <c r="Y4" s="69">
        <f t="shared" si="0"/>
        <v>0</v>
      </c>
      <c r="Z4" s="69">
        <f t="shared" si="0"/>
        <v>0</v>
      </c>
      <c r="AA4" s="69">
        <f t="shared" si="0"/>
        <v>0</v>
      </c>
    </row>
    <row r="5" spans="2:27" x14ac:dyDescent="0.25">
      <c r="B5" s="183" t="s">
        <v>207</v>
      </c>
      <c r="C5" s="183"/>
      <c r="D5" s="177"/>
      <c r="E5" s="178"/>
      <c r="F5" s="180">
        <v>0</v>
      </c>
      <c r="G5" s="180">
        <v>0</v>
      </c>
      <c r="H5" s="184">
        <f t="shared" ref="H5:AA5" si="1">IF(H3&gt;=$G$2,H4,0)*($F$5+$G$5)/Million</f>
        <v>0</v>
      </c>
      <c r="I5" s="184">
        <f t="shared" si="1"/>
        <v>0</v>
      </c>
      <c r="J5" s="184">
        <f t="shared" si="1"/>
        <v>0</v>
      </c>
      <c r="K5" s="184">
        <f t="shared" si="1"/>
        <v>0</v>
      </c>
      <c r="L5" s="184">
        <f t="shared" si="1"/>
        <v>0</v>
      </c>
      <c r="M5" s="184">
        <f t="shared" si="1"/>
        <v>0</v>
      </c>
      <c r="N5" s="184">
        <f t="shared" si="1"/>
        <v>0</v>
      </c>
      <c r="O5" s="184">
        <f t="shared" si="1"/>
        <v>0</v>
      </c>
      <c r="P5" s="184">
        <f t="shared" si="1"/>
        <v>0</v>
      </c>
      <c r="Q5" s="184">
        <f t="shared" si="1"/>
        <v>0</v>
      </c>
      <c r="R5" s="184">
        <f t="shared" si="1"/>
        <v>0</v>
      </c>
      <c r="S5" s="184">
        <f t="shared" si="1"/>
        <v>0</v>
      </c>
      <c r="T5" s="184">
        <f t="shared" si="1"/>
        <v>0</v>
      </c>
      <c r="U5" s="184">
        <f t="shared" si="1"/>
        <v>0</v>
      </c>
      <c r="V5" s="184">
        <f t="shared" si="1"/>
        <v>0</v>
      </c>
      <c r="W5" s="184">
        <f t="shared" si="1"/>
        <v>0</v>
      </c>
      <c r="X5" s="184">
        <f t="shared" si="1"/>
        <v>0</v>
      </c>
      <c r="Y5" s="184">
        <f t="shared" si="1"/>
        <v>0</v>
      </c>
      <c r="Z5" s="184">
        <f t="shared" si="1"/>
        <v>0</v>
      </c>
      <c r="AA5" s="184">
        <f t="shared" si="1"/>
        <v>0</v>
      </c>
    </row>
    <row r="6" spans="2:27" x14ac:dyDescent="0.25">
      <c r="B6" s="26" t="s">
        <v>209</v>
      </c>
      <c r="C6" s="70">
        <f>'Benefit Input Pars'!B20</f>
        <v>0.1</v>
      </c>
      <c r="D6" s="181">
        <v>8097</v>
      </c>
      <c r="E6" s="181">
        <f>SUM(H6:AA6)</f>
        <v>809.7</v>
      </c>
      <c r="F6" s="182"/>
      <c r="G6" s="182"/>
      <c r="H6" s="69">
        <f t="shared" ref="H6:AA6" si="2">IF(H$3&gt;=$G$2,IF($G$2+$I$2&gt;H$3,1,0),0)*$D$6*$C$6/$I$2</f>
        <v>0</v>
      </c>
      <c r="I6" s="69">
        <f t="shared" si="2"/>
        <v>161.94</v>
      </c>
      <c r="J6" s="69">
        <f t="shared" si="2"/>
        <v>161.94</v>
      </c>
      <c r="K6" s="69">
        <f t="shared" si="2"/>
        <v>161.94</v>
      </c>
      <c r="L6" s="69">
        <f t="shared" si="2"/>
        <v>161.94</v>
      </c>
      <c r="M6" s="69">
        <f t="shared" si="2"/>
        <v>161.94</v>
      </c>
      <c r="N6" s="69">
        <f t="shared" si="2"/>
        <v>0</v>
      </c>
      <c r="O6" s="69">
        <f t="shared" si="2"/>
        <v>0</v>
      </c>
      <c r="P6" s="69">
        <f t="shared" si="2"/>
        <v>0</v>
      </c>
      <c r="Q6" s="69">
        <f t="shared" si="2"/>
        <v>0</v>
      </c>
      <c r="R6" s="69">
        <f t="shared" si="2"/>
        <v>0</v>
      </c>
      <c r="S6" s="69">
        <f t="shared" si="2"/>
        <v>0</v>
      </c>
      <c r="T6" s="69">
        <f t="shared" si="2"/>
        <v>0</v>
      </c>
      <c r="U6" s="69">
        <f t="shared" si="2"/>
        <v>0</v>
      </c>
      <c r="V6" s="69">
        <f t="shared" si="2"/>
        <v>0</v>
      </c>
      <c r="W6" s="69">
        <f t="shared" si="2"/>
        <v>0</v>
      </c>
      <c r="X6" s="69">
        <f t="shared" si="2"/>
        <v>0</v>
      </c>
      <c r="Y6" s="69">
        <f t="shared" si="2"/>
        <v>0</v>
      </c>
      <c r="Z6" s="69">
        <f t="shared" si="2"/>
        <v>0</v>
      </c>
      <c r="AA6" s="69">
        <f t="shared" si="2"/>
        <v>0</v>
      </c>
    </row>
    <row r="7" spans="2:27" x14ac:dyDescent="0.25">
      <c r="B7" s="183" t="s">
        <v>210</v>
      </c>
      <c r="C7" s="183"/>
      <c r="D7" s="177"/>
      <c r="E7" s="178"/>
      <c r="F7" s="180">
        <v>200</v>
      </c>
      <c r="G7" s="180">
        <v>206</v>
      </c>
      <c r="H7" s="184">
        <f t="shared" ref="H7:AA7" si="3">IF(H$3&gt;=$G$2,H6,0)*($F$7+$G$7)/Million</f>
        <v>0</v>
      </c>
      <c r="I7" s="184">
        <f t="shared" si="3"/>
        <v>6.5747639999999996E-2</v>
      </c>
      <c r="J7" s="184">
        <f t="shared" si="3"/>
        <v>6.5747639999999996E-2</v>
      </c>
      <c r="K7" s="184">
        <f t="shared" si="3"/>
        <v>6.5747639999999996E-2</v>
      </c>
      <c r="L7" s="184">
        <f t="shared" si="3"/>
        <v>6.5747639999999996E-2</v>
      </c>
      <c r="M7" s="184">
        <f t="shared" si="3"/>
        <v>6.5747639999999996E-2</v>
      </c>
      <c r="N7" s="184">
        <f t="shared" si="3"/>
        <v>0</v>
      </c>
      <c r="O7" s="184">
        <f t="shared" si="3"/>
        <v>0</v>
      </c>
      <c r="P7" s="184">
        <f t="shared" si="3"/>
        <v>0</v>
      </c>
      <c r="Q7" s="184">
        <f t="shared" si="3"/>
        <v>0</v>
      </c>
      <c r="R7" s="184">
        <f t="shared" si="3"/>
        <v>0</v>
      </c>
      <c r="S7" s="184">
        <f t="shared" si="3"/>
        <v>0</v>
      </c>
      <c r="T7" s="184">
        <f t="shared" si="3"/>
        <v>0</v>
      </c>
      <c r="U7" s="184">
        <f t="shared" si="3"/>
        <v>0</v>
      </c>
      <c r="V7" s="184">
        <f t="shared" si="3"/>
        <v>0</v>
      </c>
      <c r="W7" s="184">
        <f t="shared" si="3"/>
        <v>0</v>
      </c>
      <c r="X7" s="184">
        <f t="shared" si="3"/>
        <v>0</v>
      </c>
      <c r="Y7" s="184">
        <f t="shared" si="3"/>
        <v>0</v>
      </c>
      <c r="Z7" s="184">
        <f t="shared" si="3"/>
        <v>0</v>
      </c>
      <c r="AA7" s="184">
        <f t="shared" si="3"/>
        <v>0</v>
      </c>
    </row>
    <row r="8" spans="2:27" x14ac:dyDescent="0.25">
      <c r="B8" s="26" t="s">
        <v>275</v>
      </c>
      <c r="C8" s="70">
        <f>'Benefit Input Pars'!B21</f>
        <v>0.1</v>
      </c>
      <c r="D8" s="185">
        <v>1034</v>
      </c>
      <c r="E8" s="181">
        <f>SUM(H8:AA8)</f>
        <v>103.4</v>
      </c>
      <c r="F8" s="182"/>
      <c r="G8" s="182"/>
      <c r="H8" s="69">
        <f>IF(H$3&gt;=$G$2,IF($G$2+$I$2&gt;H$3,1,0),0)*$D$8*$C$8/$I$2</f>
        <v>0</v>
      </c>
      <c r="I8" s="69">
        <f>IF(I$3&gt;=$G$2,IF($G$2+$I$2&gt;I$3,1,0),0)*$D$8*$C$8/$I$2</f>
        <v>20.68</v>
      </c>
      <c r="J8" s="69">
        <f t="shared" ref="J8:AA8" si="4">IF(J$3&gt;=$G$2,IF($G$2+$I$2&gt;J$3,1,0),0)*$D$8*$C$8/$I$2</f>
        <v>20.68</v>
      </c>
      <c r="K8" s="69">
        <f t="shared" si="4"/>
        <v>20.68</v>
      </c>
      <c r="L8" s="69">
        <f t="shared" si="4"/>
        <v>20.68</v>
      </c>
      <c r="M8" s="69">
        <f t="shared" si="4"/>
        <v>20.68</v>
      </c>
      <c r="N8" s="69">
        <f t="shared" si="4"/>
        <v>0</v>
      </c>
      <c r="O8" s="69">
        <f t="shared" si="4"/>
        <v>0</v>
      </c>
      <c r="P8" s="69">
        <f t="shared" si="4"/>
        <v>0</v>
      </c>
      <c r="Q8" s="69">
        <f t="shared" si="4"/>
        <v>0</v>
      </c>
      <c r="R8" s="69">
        <f t="shared" si="4"/>
        <v>0</v>
      </c>
      <c r="S8" s="69">
        <f t="shared" si="4"/>
        <v>0</v>
      </c>
      <c r="T8" s="69">
        <f t="shared" si="4"/>
        <v>0</v>
      </c>
      <c r="U8" s="69">
        <f t="shared" si="4"/>
        <v>0</v>
      </c>
      <c r="V8" s="69">
        <f t="shared" si="4"/>
        <v>0</v>
      </c>
      <c r="W8" s="69">
        <f t="shared" si="4"/>
        <v>0</v>
      </c>
      <c r="X8" s="69">
        <f t="shared" si="4"/>
        <v>0</v>
      </c>
      <c r="Y8" s="69">
        <f t="shared" si="4"/>
        <v>0</v>
      </c>
      <c r="Z8" s="69">
        <f t="shared" si="4"/>
        <v>0</v>
      </c>
      <c r="AA8" s="69">
        <f t="shared" si="4"/>
        <v>0</v>
      </c>
    </row>
    <row r="9" spans="2:27" x14ac:dyDescent="0.25">
      <c r="B9" s="183" t="s">
        <v>276</v>
      </c>
      <c r="C9" s="183"/>
      <c r="D9" s="177"/>
      <c r="E9" s="178"/>
      <c r="F9" s="180">
        <v>192</v>
      </c>
      <c r="G9" s="180">
        <v>128</v>
      </c>
      <c r="H9" s="184">
        <f t="shared" ref="H9:AA9" si="5">IF(H$3&gt;=$G$2,H8,0)*($F$9+$G$9)/Million</f>
        <v>0</v>
      </c>
      <c r="I9" s="184">
        <f t="shared" si="5"/>
        <v>6.6176000000000004E-3</v>
      </c>
      <c r="J9" s="184">
        <f t="shared" si="5"/>
        <v>6.6176000000000004E-3</v>
      </c>
      <c r="K9" s="184">
        <f t="shared" si="5"/>
        <v>6.6176000000000004E-3</v>
      </c>
      <c r="L9" s="184">
        <f t="shared" si="5"/>
        <v>6.6176000000000004E-3</v>
      </c>
      <c r="M9" s="184">
        <f t="shared" si="5"/>
        <v>6.6176000000000004E-3</v>
      </c>
      <c r="N9" s="184">
        <f t="shared" si="5"/>
        <v>0</v>
      </c>
      <c r="O9" s="184">
        <f t="shared" si="5"/>
        <v>0</v>
      </c>
      <c r="P9" s="184">
        <f t="shared" si="5"/>
        <v>0</v>
      </c>
      <c r="Q9" s="184">
        <f t="shared" si="5"/>
        <v>0</v>
      </c>
      <c r="R9" s="184">
        <f t="shared" si="5"/>
        <v>0</v>
      </c>
      <c r="S9" s="184">
        <f t="shared" si="5"/>
        <v>0</v>
      </c>
      <c r="T9" s="184">
        <f t="shared" si="5"/>
        <v>0</v>
      </c>
      <c r="U9" s="184">
        <f t="shared" si="5"/>
        <v>0</v>
      </c>
      <c r="V9" s="184">
        <f t="shared" si="5"/>
        <v>0</v>
      </c>
      <c r="W9" s="184">
        <f t="shared" si="5"/>
        <v>0</v>
      </c>
      <c r="X9" s="184">
        <f t="shared" si="5"/>
        <v>0</v>
      </c>
      <c r="Y9" s="184">
        <f t="shared" si="5"/>
        <v>0</v>
      </c>
      <c r="Z9" s="184">
        <f t="shared" si="5"/>
        <v>0</v>
      </c>
      <c r="AA9" s="184">
        <f t="shared" si="5"/>
        <v>0</v>
      </c>
    </row>
    <row r="10" spans="2:27" x14ac:dyDescent="0.25">
      <c r="B10" s="26" t="s">
        <v>213</v>
      </c>
      <c r="C10" s="70">
        <f>'Benefit Input Pars'!B22</f>
        <v>0.5</v>
      </c>
      <c r="D10" s="185">
        <f>2106+1950</f>
        <v>4056</v>
      </c>
      <c r="E10" s="181">
        <f>SUM(H10:AA10)</f>
        <v>2028</v>
      </c>
      <c r="F10" s="182"/>
      <c r="G10" s="182"/>
      <c r="H10" s="69">
        <f t="shared" ref="H10:AA10" si="6">IF(H$3&gt;=$G$2,IF($G$2+$I$2&gt;H$3,1,0),0)*$D$10*$C$10/$I$2</f>
        <v>0</v>
      </c>
      <c r="I10" s="69">
        <f t="shared" si="6"/>
        <v>405.6</v>
      </c>
      <c r="J10" s="69">
        <f t="shared" si="6"/>
        <v>405.6</v>
      </c>
      <c r="K10" s="69">
        <f t="shared" si="6"/>
        <v>405.6</v>
      </c>
      <c r="L10" s="69">
        <f t="shared" si="6"/>
        <v>405.6</v>
      </c>
      <c r="M10" s="69">
        <f t="shared" si="6"/>
        <v>405.6</v>
      </c>
      <c r="N10" s="69">
        <f t="shared" si="6"/>
        <v>0</v>
      </c>
      <c r="O10" s="69">
        <f t="shared" si="6"/>
        <v>0</v>
      </c>
      <c r="P10" s="69">
        <f t="shared" si="6"/>
        <v>0</v>
      </c>
      <c r="Q10" s="69">
        <f t="shared" si="6"/>
        <v>0</v>
      </c>
      <c r="R10" s="69">
        <f t="shared" si="6"/>
        <v>0</v>
      </c>
      <c r="S10" s="69">
        <f t="shared" si="6"/>
        <v>0</v>
      </c>
      <c r="T10" s="69">
        <f t="shared" si="6"/>
        <v>0</v>
      </c>
      <c r="U10" s="69">
        <f t="shared" si="6"/>
        <v>0</v>
      </c>
      <c r="V10" s="69">
        <f t="shared" si="6"/>
        <v>0</v>
      </c>
      <c r="W10" s="69">
        <f t="shared" si="6"/>
        <v>0</v>
      </c>
      <c r="X10" s="69">
        <f t="shared" si="6"/>
        <v>0</v>
      </c>
      <c r="Y10" s="69">
        <f t="shared" si="6"/>
        <v>0</v>
      </c>
      <c r="Z10" s="69">
        <f t="shared" si="6"/>
        <v>0</v>
      </c>
      <c r="AA10" s="69">
        <f t="shared" si="6"/>
        <v>0</v>
      </c>
    </row>
    <row r="11" spans="2:27" x14ac:dyDescent="0.25">
      <c r="B11" s="183" t="s">
        <v>214</v>
      </c>
      <c r="C11" s="183"/>
      <c r="D11" s="177"/>
      <c r="E11" s="178"/>
      <c r="F11" s="180">
        <v>365.70000000000005</v>
      </c>
      <c r="G11" s="180">
        <v>200</v>
      </c>
      <c r="H11" s="184">
        <f t="shared" ref="H11:AA11" si="7">IF(H$3&gt;=$G$2,H10,0)*($F$11+$G$11)/Million</f>
        <v>0</v>
      </c>
      <c r="I11" s="184">
        <f t="shared" si="7"/>
        <v>0.22944792000000006</v>
      </c>
      <c r="J11" s="184">
        <f t="shared" si="7"/>
        <v>0.22944792000000006</v>
      </c>
      <c r="K11" s="184">
        <f t="shared" si="7"/>
        <v>0.22944792000000006</v>
      </c>
      <c r="L11" s="184">
        <f t="shared" si="7"/>
        <v>0.22944792000000006</v>
      </c>
      <c r="M11" s="184">
        <f t="shared" si="7"/>
        <v>0.22944792000000006</v>
      </c>
      <c r="N11" s="184">
        <f t="shared" si="7"/>
        <v>0</v>
      </c>
      <c r="O11" s="184">
        <f t="shared" si="7"/>
        <v>0</v>
      </c>
      <c r="P11" s="184">
        <f t="shared" si="7"/>
        <v>0</v>
      </c>
      <c r="Q11" s="184">
        <f t="shared" si="7"/>
        <v>0</v>
      </c>
      <c r="R11" s="184">
        <f t="shared" si="7"/>
        <v>0</v>
      </c>
      <c r="S11" s="184">
        <f t="shared" si="7"/>
        <v>0</v>
      </c>
      <c r="T11" s="184">
        <f t="shared" si="7"/>
        <v>0</v>
      </c>
      <c r="U11" s="184">
        <f t="shared" si="7"/>
        <v>0</v>
      </c>
      <c r="V11" s="184">
        <f t="shared" si="7"/>
        <v>0</v>
      </c>
      <c r="W11" s="184">
        <f t="shared" si="7"/>
        <v>0</v>
      </c>
      <c r="X11" s="184">
        <f t="shared" si="7"/>
        <v>0</v>
      </c>
      <c r="Y11" s="184">
        <f t="shared" si="7"/>
        <v>0</v>
      </c>
      <c r="Z11" s="184">
        <f t="shared" si="7"/>
        <v>0</v>
      </c>
      <c r="AA11" s="184">
        <f t="shared" si="7"/>
        <v>0</v>
      </c>
    </row>
    <row r="12" spans="2:27" x14ac:dyDescent="0.25">
      <c r="B12" s="26" t="s">
        <v>217</v>
      </c>
      <c r="C12" s="70">
        <f>'Benefit Input Pars'!B23</f>
        <v>0.3</v>
      </c>
      <c r="D12" s="185">
        <f>4916+4550</f>
        <v>9466</v>
      </c>
      <c r="E12" s="181">
        <f>SUM(H12:AA12)</f>
        <v>2839.7999999999997</v>
      </c>
      <c r="F12" s="182"/>
      <c r="G12" s="182"/>
      <c r="H12" s="69">
        <f t="shared" ref="H12:AA12" si="8">IF(H$3&gt;=$G$2,IF($G$2+$I$2&gt;H$3,1,0),0)*$D$12*$C$12/$I$2</f>
        <v>0</v>
      </c>
      <c r="I12" s="69">
        <f t="shared" si="8"/>
        <v>567.95999999999992</v>
      </c>
      <c r="J12" s="69">
        <f t="shared" si="8"/>
        <v>567.95999999999992</v>
      </c>
      <c r="K12" s="69">
        <f t="shared" si="8"/>
        <v>567.95999999999992</v>
      </c>
      <c r="L12" s="69">
        <f t="shared" si="8"/>
        <v>567.95999999999992</v>
      </c>
      <c r="M12" s="69">
        <f t="shared" si="8"/>
        <v>567.95999999999992</v>
      </c>
      <c r="N12" s="69">
        <f t="shared" si="8"/>
        <v>0</v>
      </c>
      <c r="O12" s="69">
        <f t="shared" si="8"/>
        <v>0</v>
      </c>
      <c r="P12" s="69">
        <f t="shared" si="8"/>
        <v>0</v>
      </c>
      <c r="Q12" s="69">
        <f t="shared" si="8"/>
        <v>0</v>
      </c>
      <c r="R12" s="69">
        <f t="shared" si="8"/>
        <v>0</v>
      </c>
      <c r="S12" s="69">
        <f t="shared" si="8"/>
        <v>0</v>
      </c>
      <c r="T12" s="69">
        <f t="shared" si="8"/>
        <v>0</v>
      </c>
      <c r="U12" s="69">
        <f t="shared" si="8"/>
        <v>0</v>
      </c>
      <c r="V12" s="69">
        <f t="shared" si="8"/>
        <v>0</v>
      </c>
      <c r="W12" s="69">
        <f t="shared" si="8"/>
        <v>0</v>
      </c>
      <c r="X12" s="69">
        <f t="shared" si="8"/>
        <v>0</v>
      </c>
      <c r="Y12" s="69">
        <f t="shared" si="8"/>
        <v>0</v>
      </c>
      <c r="Z12" s="69">
        <f t="shared" si="8"/>
        <v>0</v>
      </c>
      <c r="AA12" s="69">
        <f t="shared" si="8"/>
        <v>0</v>
      </c>
    </row>
    <row r="13" spans="2:27" x14ac:dyDescent="0.25">
      <c r="B13" s="183" t="s">
        <v>218</v>
      </c>
      <c r="C13" s="183"/>
      <c r="D13" s="177"/>
      <c r="E13" s="178"/>
      <c r="F13" s="180">
        <v>668.58571428571429</v>
      </c>
      <c r="G13" s="180">
        <v>300</v>
      </c>
      <c r="H13" s="184">
        <f t="shared" ref="H13:AA13" si="9">IF(H$3&gt;=$G$2,H12,0)*($F$13+$G$13)/Million</f>
        <v>0</v>
      </c>
      <c r="I13" s="184">
        <f t="shared" si="9"/>
        <v>0.5501179422857142</v>
      </c>
      <c r="J13" s="184">
        <f t="shared" si="9"/>
        <v>0.5501179422857142</v>
      </c>
      <c r="K13" s="184">
        <f t="shared" si="9"/>
        <v>0.5501179422857142</v>
      </c>
      <c r="L13" s="184">
        <f t="shared" si="9"/>
        <v>0.5501179422857142</v>
      </c>
      <c r="M13" s="184">
        <f t="shared" si="9"/>
        <v>0.5501179422857142</v>
      </c>
      <c r="N13" s="184">
        <f t="shared" si="9"/>
        <v>0</v>
      </c>
      <c r="O13" s="184">
        <f t="shared" si="9"/>
        <v>0</v>
      </c>
      <c r="P13" s="184">
        <f t="shared" si="9"/>
        <v>0</v>
      </c>
      <c r="Q13" s="184">
        <f t="shared" si="9"/>
        <v>0</v>
      </c>
      <c r="R13" s="184">
        <f t="shared" si="9"/>
        <v>0</v>
      </c>
      <c r="S13" s="184">
        <f t="shared" si="9"/>
        <v>0</v>
      </c>
      <c r="T13" s="184">
        <f t="shared" si="9"/>
        <v>0</v>
      </c>
      <c r="U13" s="184">
        <f t="shared" si="9"/>
        <v>0</v>
      </c>
      <c r="V13" s="184">
        <f t="shared" si="9"/>
        <v>0</v>
      </c>
      <c r="W13" s="184">
        <f t="shared" si="9"/>
        <v>0</v>
      </c>
      <c r="X13" s="184">
        <f t="shared" si="9"/>
        <v>0</v>
      </c>
      <c r="Y13" s="184">
        <f t="shared" si="9"/>
        <v>0</v>
      </c>
      <c r="Z13" s="184">
        <f t="shared" si="9"/>
        <v>0</v>
      </c>
      <c r="AA13" s="184">
        <f t="shared" si="9"/>
        <v>0</v>
      </c>
    </row>
    <row r="14" spans="2:27" x14ac:dyDescent="0.25">
      <c r="B14" s="26" t="s">
        <v>219</v>
      </c>
      <c r="C14" s="70">
        <f>'Benefit Input Pars'!B24</f>
        <v>1</v>
      </c>
      <c r="D14" s="185">
        <v>282</v>
      </c>
      <c r="E14" s="181">
        <f>SUM(H14:AA14)</f>
        <v>282</v>
      </c>
      <c r="F14" s="182"/>
      <c r="G14" s="182"/>
      <c r="H14" s="69">
        <f t="shared" ref="H14:AA14" si="10">IF(H$3&gt;=$G$2,IF($G$2+$I$2&gt;H$3,1,0),0)*$D$14*$C$14/$I$2</f>
        <v>0</v>
      </c>
      <c r="I14" s="69">
        <f t="shared" si="10"/>
        <v>56.4</v>
      </c>
      <c r="J14" s="69">
        <f t="shared" si="10"/>
        <v>56.4</v>
      </c>
      <c r="K14" s="69">
        <f t="shared" si="10"/>
        <v>56.4</v>
      </c>
      <c r="L14" s="69">
        <f t="shared" si="10"/>
        <v>56.4</v>
      </c>
      <c r="M14" s="69">
        <f t="shared" si="10"/>
        <v>56.4</v>
      </c>
      <c r="N14" s="69">
        <f t="shared" si="10"/>
        <v>0</v>
      </c>
      <c r="O14" s="69">
        <f t="shared" si="10"/>
        <v>0</v>
      </c>
      <c r="P14" s="69">
        <f t="shared" si="10"/>
        <v>0</v>
      </c>
      <c r="Q14" s="69">
        <f t="shared" si="10"/>
        <v>0</v>
      </c>
      <c r="R14" s="69">
        <f t="shared" si="10"/>
        <v>0</v>
      </c>
      <c r="S14" s="69">
        <f t="shared" si="10"/>
        <v>0</v>
      </c>
      <c r="T14" s="69">
        <f t="shared" si="10"/>
        <v>0</v>
      </c>
      <c r="U14" s="69">
        <f t="shared" si="10"/>
        <v>0</v>
      </c>
      <c r="V14" s="69">
        <f t="shared" si="10"/>
        <v>0</v>
      </c>
      <c r="W14" s="69">
        <f t="shared" si="10"/>
        <v>0</v>
      </c>
      <c r="X14" s="69">
        <f t="shared" si="10"/>
        <v>0</v>
      </c>
      <c r="Y14" s="69">
        <f t="shared" si="10"/>
        <v>0</v>
      </c>
      <c r="Z14" s="69">
        <f t="shared" si="10"/>
        <v>0</v>
      </c>
      <c r="AA14" s="69">
        <f t="shared" si="10"/>
        <v>0</v>
      </c>
    </row>
    <row r="15" spans="2:27" x14ac:dyDescent="0.25">
      <c r="B15" s="183" t="s">
        <v>220</v>
      </c>
      <c r="C15" s="183"/>
      <c r="D15" s="177"/>
      <c r="E15" s="178"/>
      <c r="F15" s="180">
        <v>700</v>
      </c>
      <c r="G15" s="180">
        <v>600</v>
      </c>
      <c r="H15" s="184">
        <f t="shared" ref="H15:AA15" si="11">IF(H$3&gt;=$G$2,H14,0)*($F$15+$G$15)/Million</f>
        <v>0</v>
      </c>
      <c r="I15" s="184">
        <f t="shared" si="11"/>
        <v>7.3319999999999996E-2</v>
      </c>
      <c r="J15" s="184">
        <f t="shared" si="11"/>
        <v>7.3319999999999996E-2</v>
      </c>
      <c r="K15" s="184">
        <f t="shared" si="11"/>
        <v>7.3319999999999996E-2</v>
      </c>
      <c r="L15" s="184">
        <f t="shared" si="11"/>
        <v>7.3319999999999996E-2</v>
      </c>
      <c r="M15" s="184">
        <f t="shared" si="11"/>
        <v>7.3319999999999996E-2</v>
      </c>
      <c r="N15" s="184">
        <f t="shared" si="11"/>
        <v>0</v>
      </c>
      <c r="O15" s="184">
        <f t="shared" si="11"/>
        <v>0</v>
      </c>
      <c r="P15" s="184">
        <f t="shared" si="11"/>
        <v>0</v>
      </c>
      <c r="Q15" s="184">
        <f t="shared" si="11"/>
        <v>0</v>
      </c>
      <c r="R15" s="184">
        <f t="shared" si="11"/>
        <v>0</v>
      </c>
      <c r="S15" s="184">
        <f t="shared" si="11"/>
        <v>0</v>
      </c>
      <c r="T15" s="184">
        <f t="shared" si="11"/>
        <v>0</v>
      </c>
      <c r="U15" s="184">
        <f t="shared" si="11"/>
        <v>0</v>
      </c>
      <c r="V15" s="184">
        <f t="shared" si="11"/>
        <v>0</v>
      </c>
      <c r="W15" s="184">
        <f t="shared" si="11"/>
        <v>0</v>
      </c>
      <c r="X15" s="184">
        <f t="shared" si="11"/>
        <v>0</v>
      </c>
      <c r="Y15" s="184">
        <f t="shared" si="11"/>
        <v>0</v>
      </c>
      <c r="Z15" s="184">
        <f t="shared" si="11"/>
        <v>0</v>
      </c>
      <c r="AA15" s="184">
        <f t="shared" si="11"/>
        <v>0</v>
      </c>
    </row>
    <row r="16" spans="2:27" x14ac:dyDescent="0.25">
      <c r="B16" s="26" t="s">
        <v>279</v>
      </c>
      <c r="C16" s="70">
        <f>'Benefit Input Pars'!B25</f>
        <v>0.24475927205712975</v>
      </c>
      <c r="D16" s="185">
        <v>8682</v>
      </c>
      <c r="E16" s="181">
        <f>SUM(H16:AA16)</f>
        <v>2125.0000000000005</v>
      </c>
      <c r="F16" s="182"/>
      <c r="G16" s="182"/>
      <c r="H16" s="69">
        <f t="shared" ref="H16:AA16" si="12">IF(H$3&gt;=$G$2,IF($G$2+$I$2&gt;H$3,1,0),0)*$D$16*$C$16/$I$2</f>
        <v>0</v>
      </c>
      <c r="I16" s="69">
        <f t="shared" si="12"/>
        <v>425.00000000000011</v>
      </c>
      <c r="J16" s="69">
        <f t="shared" si="12"/>
        <v>425.00000000000011</v>
      </c>
      <c r="K16" s="69">
        <f t="shared" si="12"/>
        <v>425.00000000000011</v>
      </c>
      <c r="L16" s="69">
        <f t="shared" si="12"/>
        <v>425.00000000000011</v>
      </c>
      <c r="M16" s="69">
        <f t="shared" si="12"/>
        <v>425.00000000000011</v>
      </c>
      <c r="N16" s="69">
        <f t="shared" si="12"/>
        <v>0</v>
      </c>
      <c r="O16" s="69">
        <f t="shared" si="12"/>
        <v>0</v>
      </c>
      <c r="P16" s="69">
        <f t="shared" si="12"/>
        <v>0</v>
      </c>
      <c r="Q16" s="69">
        <f t="shared" si="12"/>
        <v>0</v>
      </c>
      <c r="R16" s="69">
        <f t="shared" si="12"/>
        <v>0</v>
      </c>
      <c r="S16" s="69">
        <f t="shared" si="12"/>
        <v>0</v>
      </c>
      <c r="T16" s="69">
        <f t="shared" si="12"/>
        <v>0</v>
      </c>
      <c r="U16" s="69">
        <f t="shared" si="12"/>
        <v>0</v>
      </c>
      <c r="V16" s="69">
        <f t="shared" si="12"/>
        <v>0</v>
      </c>
      <c r="W16" s="69">
        <f t="shared" si="12"/>
        <v>0</v>
      </c>
      <c r="X16" s="69">
        <f t="shared" si="12"/>
        <v>0</v>
      </c>
      <c r="Y16" s="69">
        <f t="shared" si="12"/>
        <v>0</v>
      </c>
      <c r="Z16" s="69">
        <f t="shared" si="12"/>
        <v>0</v>
      </c>
      <c r="AA16" s="69">
        <f t="shared" si="12"/>
        <v>0</v>
      </c>
    </row>
    <row r="17" spans="2:27" x14ac:dyDescent="0.25">
      <c r="B17" s="183" t="s">
        <v>278</v>
      </c>
      <c r="C17" s="183"/>
      <c r="D17" s="177"/>
      <c r="E17" s="178"/>
      <c r="F17" s="180">
        <v>879.98571428571427</v>
      </c>
      <c r="G17" s="180">
        <v>1430.64</v>
      </c>
      <c r="H17" s="184">
        <f t="shared" ref="H17:AA17" si="13">IF(H$3&gt;=$G$2,H16,0)*($F$17+$G$17)/Million</f>
        <v>0</v>
      </c>
      <c r="I17" s="184">
        <f t="shared" si="13"/>
        <v>0.98201592857142883</v>
      </c>
      <c r="J17" s="184">
        <f t="shared" si="13"/>
        <v>0.98201592857142883</v>
      </c>
      <c r="K17" s="184">
        <f t="shared" si="13"/>
        <v>0.98201592857142883</v>
      </c>
      <c r="L17" s="184">
        <f t="shared" si="13"/>
        <v>0.98201592857142883</v>
      </c>
      <c r="M17" s="184">
        <f t="shared" si="13"/>
        <v>0.98201592857142883</v>
      </c>
      <c r="N17" s="184">
        <f t="shared" si="13"/>
        <v>0</v>
      </c>
      <c r="O17" s="184">
        <f t="shared" si="13"/>
        <v>0</v>
      </c>
      <c r="P17" s="184">
        <f t="shared" si="13"/>
        <v>0</v>
      </c>
      <c r="Q17" s="184">
        <f t="shared" si="13"/>
        <v>0</v>
      </c>
      <c r="R17" s="184">
        <f t="shared" si="13"/>
        <v>0</v>
      </c>
      <c r="S17" s="184">
        <f t="shared" si="13"/>
        <v>0</v>
      </c>
      <c r="T17" s="184">
        <f t="shared" si="13"/>
        <v>0</v>
      </c>
      <c r="U17" s="184">
        <f t="shared" si="13"/>
        <v>0</v>
      </c>
      <c r="V17" s="184">
        <f t="shared" si="13"/>
        <v>0</v>
      </c>
      <c r="W17" s="184">
        <f t="shared" si="13"/>
        <v>0</v>
      </c>
      <c r="X17" s="184">
        <f t="shared" si="13"/>
        <v>0</v>
      </c>
      <c r="Y17" s="184">
        <f t="shared" si="13"/>
        <v>0</v>
      </c>
      <c r="Z17" s="184">
        <f t="shared" si="13"/>
        <v>0</v>
      </c>
      <c r="AA17" s="184">
        <f t="shared" si="13"/>
        <v>0</v>
      </c>
    </row>
    <row r="18" spans="2:27" x14ac:dyDescent="0.25">
      <c r="B18" s="1" t="s">
        <v>221</v>
      </c>
      <c r="C18" s="1"/>
      <c r="D18" s="1"/>
      <c r="E18" s="1"/>
      <c r="F18" s="39"/>
      <c r="G18" s="40"/>
      <c r="H18" s="41">
        <f>H5+H7+H9+H11+H13+H15+H17</f>
        <v>0</v>
      </c>
      <c r="I18" s="41">
        <f t="shared" ref="I18:AA18" si="14">I5+I7+I9+I11+I13+I15+I17</f>
        <v>1.9072670308571431</v>
      </c>
      <c r="J18" s="41">
        <f t="shared" si="14"/>
        <v>1.9072670308571431</v>
      </c>
      <c r="K18" s="41">
        <f t="shared" si="14"/>
        <v>1.9072670308571431</v>
      </c>
      <c r="L18" s="41">
        <f t="shared" si="14"/>
        <v>1.9072670308571431</v>
      </c>
      <c r="M18" s="41">
        <f t="shared" si="14"/>
        <v>1.9072670308571431</v>
      </c>
      <c r="N18" s="41">
        <f t="shared" si="14"/>
        <v>0</v>
      </c>
      <c r="O18" s="41">
        <f t="shared" si="14"/>
        <v>0</v>
      </c>
      <c r="P18" s="41">
        <f t="shared" si="14"/>
        <v>0</v>
      </c>
      <c r="Q18" s="41">
        <f t="shared" si="14"/>
        <v>0</v>
      </c>
      <c r="R18" s="41">
        <f t="shared" si="14"/>
        <v>0</v>
      </c>
      <c r="S18" s="41">
        <f t="shared" si="14"/>
        <v>0</v>
      </c>
      <c r="T18" s="41">
        <f t="shared" si="14"/>
        <v>0</v>
      </c>
      <c r="U18" s="41">
        <f t="shared" si="14"/>
        <v>0</v>
      </c>
      <c r="V18" s="41">
        <f t="shared" si="14"/>
        <v>0</v>
      </c>
      <c r="W18" s="41">
        <f t="shared" si="14"/>
        <v>0</v>
      </c>
      <c r="X18" s="41">
        <f t="shared" si="14"/>
        <v>0</v>
      </c>
      <c r="Y18" s="41">
        <f t="shared" si="14"/>
        <v>0</v>
      </c>
      <c r="Z18" s="41">
        <f t="shared" si="14"/>
        <v>0</v>
      </c>
      <c r="AA18" s="41">
        <f t="shared" si="14"/>
        <v>0</v>
      </c>
    </row>
    <row r="19" spans="2:27" x14ac:dyDescent="0.25">
      <c r="B19" s="26" t="s">
        <v>234</v>
      </c>
      <c r="D19" s="26" t="s">
        <v>235</v>
      </c>
      <c r="F19" s="9">
        <f>'Benefit Input Pars'!B72</f>
        <v>0.25</v>
      </c>
      <c r="G19" s="36"/>
      <c r="H19" s="69">
        <f>(H8+H10+H14+H12)*$F$19</f>
        <v>0</v>
      </c>
      <c r="I19" s="69">
        <f t="shared" ref="I19:AA19" si="15">(I8+I10+I14+I12)*$F$19</f>
        <v>262.65999999999997</v>
      </c>
      <c r="J19" s="69">
        <f t="shared" si="15"/>
        <v>262.65999999999997</v>
      </c>
      <c r="K19" s="69">
        <f t="shared" si="15"/>
        <v>262.65999999999997</v>
      </c>
      <c r="L19" s="69">
        <f t="shared" si="15"/>
        <v>262.65999999999997</v>
      </c>
      <c r="M19" s="69">
        <f t="shared" si="15"/>
        <v>262.65999999999997</v>
      </c>
      <c r="N19" s="69">
        <f t="shared" si="15"/>
        <v>0</v>
      </c>
      <c r="O19" s="69">
        <f t="shared" si="15"/>
        <v>0</v>
      </c>
      <c r="P19" s="69">
        <f t="shared" si="15"/>
        <v>0</v>
      </c>
      <c r="Q19" s="69">
        <f t="shared" si="15"/>
        <v>0</v>
      </c>
      <c r="R19" s="69">
        <f t="shared" si="15"/>
        <v>0</v>
      </c>
      <c r="S19" s="69">
        <f t="shared" si="15"/>
        <v>0</v>
      </c>
      <c r="T19" s="69">
        <f t="shared" si="15"/>
        <v>0</v>
      </c>
      <c r="U19" s="69">
        <f t="shared" si="15"/>
        <v>0</v>
      </c>
      <c r="V19" s="69">
        <f t="shared" si="15"/>
        <v>0</v>
      </c>
      <c r="W19" s="69">
        <f t="shared" si="15"/>
        <v>0</v>
      </c>
      <c r="X19" s="69">
        <f t="shared" si="15"/>
        <v>0</v>
      </c>
      <c r="Y19" s="69">
        <f t="shared" si="15"/>
        <v>0</v>
      </c>
      <c r="Z19" s="69">
        <f t="shared" si="15"/>
        <v>0</v>
      </c>
      <c r="AA19" s="69">
        <f t="shared" si="15"/>
        <v>0</v>
      </c>
    </row>
    <row r="20" spans="2:27" x14ac:dyDescent="0.25">
      <c r="B20" s="183" t="s">
        <v>240</v>
      </c>
      <c r="C20" s="183"/>
      <c r="D20" s="183">
        <f>SUM(D4:D17)</f>
        <v>37397</v>
      </c>
      <c r="E20" s="183"/>
      <c r="F20" s="189">
        <f>SUM(H20:AA20)</f>
        <v>6640.9</v>
      </c>
      <c r="G20" s="152">
        <f>F20/D20</f>
        <v>0.1775784153809129</v>
      </c>
      <c r="H20" s="189">
        <f>(H10+H8+H14+H12+H6+H4)</f>
        <v>0</v>
      </c>
      <c r="I20" s="189">
        <f t="shared" ref="I20:AA20" si="16">(I10+I8+I14+I12+I6+I4)</f>
        <v>1328.1799999999998</v>
      </c>
      <c r="J20" s="189">
        <f t="shared" si="16"/>
        <v>1328.1799999999998</v>
      </c>
      <c r="K20" s="189">
        <f t="shared" si="16"/>
        <v>1328.1799999999998</v>
      </c>
      <c r="L20" s="189">
        <f t="shared" si="16"/>
        <v>1328.1799999999998</v>
      </c>
      <c r="M20" s="189">
        <f t="shared" si="16"/>
        <v>1328.1799999999998</v>
      </c>
      <c r="N20" s="189">
        <f t="shared" si="16"/>
        <v>0</v>
      </c>
      <c r="O20" s="189">
        <f t="shared" si="16"/>
        <v>0</v>
      </c>
      <c r="P20" s="189">
        <f t="shared" si="16"/>
        <v>0</v>
      </c>
      <c r="Q20" s="189">
        <f t="shared" si="16"/>
        <v>0</v>
      </c>
      <c r="R20" s="189">
        <f t="shared" si="16"/>
        <v>0</v>
      </c>
      <c r="S20" s="189">
        <f t="shared" si="16"/>
        <v>0</v>
      </c>
      <c r="T20" s="189">
        <f t="shared" si="16"/>
        <v>0</v>
      </c>
      <c r="U20" s="189">
        <f t="shared" si="16"/>
        <v>0</v>
      </c>
      <c r="V20" s="189">
        <f t="shared" si="16"/>
        <v>0</v>
      </c>
      <c r="W20" s="189">
        <f t="shared" si="16"/>
        <v>0</v>
      </c>
      <c r="X20" s="189">
        <f t="shared" si="16"/>
        <v>0</v>
      </c>
      <c r="Y20" s="189">
        <f t="shared" si="16"/>
        <v>0</v>
      </c>
      <c r="Z20" s="189">
        <f t="shared" si="16"/>
        <v>0</v>
      </c>
      <c r="AA20" s="189">
        <f t="shared" si="16"/>
        <v>0</v>
      </c>
    </row>
    <row r="21" spans="2:27" x14ac:dyDescent="0.25">
      <c r="B21" s="190" t="s">
        <v>417</v>
      </c>
      <c r="C21" s="191">
        <v>0</v>
      </c>
      <c r="D21" s="190"/>
      <c r="E21" s="190"/>
      <c r="F21" s="192">
        <f>IF(G20&lt;G21,0,1)</f>
        <v>1</v>
      </c>
      <c r="G21" s="196">
        <v>0.1775784153809129</v>
      </c>
      <c r="H21" s="193">
        <f>SUM(H4,H6,H10,H12,H14,H16,H8)</f>
        <v>0</v>
      </c>
      <c r="I21" s="193">
        <f t="shared" ref="I21:AA21" si="17">SUM(I4,I6,I10,I12,I14,I16,I8)</f>
        <v>1753.18</v>
      </c>
      <c r="J21" s="193">
        <f t="shared" si="17"/>
        <v>1753.18</v>
      </c>
      <c r="K21" s="193">
        <f t="shared" si="17"/>
        <v>1753.18</v>
      </c>
      <c r="L21" s="193">
        <f t="shared" si="17"/>
        <v>1753.18</v>
      </c>
      <c r="M21" s="193">
        <f t="shared" si="17"/>
        <v>1753.18</v>
      </c>
      <c r="N21" s="193">
        <f t="shared" si="17"/>
        <v>0</v>
      </c>
      <c r="O21" s="193">
        <f t="shared" si="17"/>
        <v>0</v>
      </c>
      <c r="P21" s="193">
        <f t="shared" si="17"/>
        <v>0</v>
      </c>
      <c r="Q21" s="193">
        <f t="shared" si="17"/>
        <v>0</v>
      </c>
      <c r="R21" s="193">
        <f t="shared" si="17"/>
        <v>0</v>
      </c>
      <c r="S21" s="193">
        <f t="shared" si="17"/>
        <v>0</v>
      </c>
      <c r="T21" s="193">
        <f t="shared" si="17"/>
        <v>0</v>
      </c>
      <c r="U21" s="193">
        <f t="shared" si="17"/>
        <v>0</v>
      </c>
      <c r="V21" s="193">
        <f t="shared" si="17"/>
        <v>0</v>
      </c>
      <c r="W21" s="193">
        <f t="shared" si="17"/>
        <v>0</v>
      </c>
      <c r="X21" s="193">
        <f t="shared" si="17"/>
        <v>0</v>
      </c>
      <c r="Y21" s="193">
        <f t="shared" si="17"/>
        <v>0</v>
      </c>
      <c r="Z21" s="193">
        <f t="shared" si="17"/>
        <v>0</v>
      </c>
      <c r="AA21" s="193">
        <f t="shared" si="17"/>
        <v>0</v>
      </c>
    </row>
    <row r="22" spans="2:27" x14ac:dyDescent="0.25">
      <c r="B22" s="190"/>
      <c r="C22" s="190"/>
      <c r="D22" s="190"/>
      <c r="E22" s="190"/>
      <c r="F22" s="194" t="s">
        <v>241</v>
      </c>
      <c r="G22" s="195"/>
      <c r="H22" s="192">
        <f>SUM($H$21:H21)/SUM($H$21:$AA$21)</f>
        <v>0</v>
      </c>
      <c r="I22" s="192">
        <f>SUM($H$21:I21)/SUM($H$21:$AA$21)</f>
        <v>0.2</v>
      </c>
      <c r="J22" s="192">
        <f>SUM($H$21:J21)/SUM($H$21:$AA$21)</f>
        <v>0.4</v>
      </c>
      <c r="K22" s="192">
        <f>SUM($H$21:K21)/SUM($H$21:$AA$21)</f>
        <v>0.6</v>
      </c>
      <c r="L22" s="192">
        <f>SUM($H$21:L21)/SUM($H$21:$AA$21)</f>
        <v>0.8</v>
      </c>
      <c r="M22" s="192">
        <f>SUM($H$21:M21)/SUM($H$21:$AA$21)</f>
        <v>1</v>
      </c>
      <c r="N22" s="192">
        <f>SUM($H$21:N21)/SUM($H$21:$AA$21)</f>
        <v>1</v>
      </c>
      <c r="O22" s="192">
        <f>SUM($H$21:O21)/SUM($H$21:$AA$21)</f>
        <v>1</v>
      </c>
      <c r="P22" s="192">
        <f>SUM($H$21:P21)/SUM($H$21:$AA$21)</f>
        <v>1</v>
      </c>
      <c r="Q22" s="192">
        <f>SUM($H$21:Q21)/SUM($H$21:$AA$21)</f>
        <v>1</v>
      </c>
      <c r="R22" s="192">
        <f>SUM($H$21:R21)/SUM($H$21:$AA$21)</f>
        <v>1</v>
      </c>
      <c r="S22" s="192">
        <f>SUM($H$21:S21)/SUM($H$21:$AA$21)</f>
        <v>1</v>
      </c>
      <c r="T22" s="192">
        <f>SUM($H$21:T21)/SUM($H$21:$AA$21)</f>
        <v>1</v>
      </c>
      <c r="U22" s="192">
        <f>SUM($H$21:U21)/SUM($H$21:$AA$21)</f>
        <v>1</v>
      </c>
      <c r="V22" s="192">
        <f>SUM($H$21:V21)/SUM($H$21:$AA$21)</f>
        <v>1</v>
      </c>
      <c r="W22" s="192">
        <f>SUM($H$21:W21)/SUM($H$21:$AA$21)</f>
        <v>1</v>
      </c>
      <c r="X22" s="192">
        <f>SUM($H$21:X21)/SUM($H$21:$AA$21)</f>
        <v>1</v>
      </c>
      <c r="Y22" s="192">
        <f>SUM($H$21:Y21)/SUM($H$21:$AA$21)</f>
        <v>1</v>
      </c>
      <c r="Z22" s="192">
        <f>SUM($H$21:Z21)/SUM($H$21:$AA$21)</f>
        <v>1</v>
      </c>
      <c r="AA22" s="192">
        <f>SUM($H$21:AA21)/SUM($H$21:$AA$21)</f>
        <v>1</v>
      </c>
    </row>
    <row r="23" spans="2:27" x14ac:dyDescent="0.25">
      <c r="B23" s="1" t="s">
        <v>228</v>
      </c>
      <c r="F23" s="71"/>
      <c r="G23" s="36"/>
    </row>
    <row r="24" spans="2:27" x14ac:dyDescent="0.25">
      <c r="B24" s="26" t="s">
        <v>227</v>
      </c>
      <c r="C24" s="180">
        <v>73</v>
      </c>
      <c r="D24" s="26" t="s">
        <v>226</v>
      </c>
      <c r="F24" s="71"/>
      <c r="G24" s="36"/>
      <c r="I24" s="69"/>
      <c r="J24" s="69"/>
      <c r="K24" s="69"/>
      <c r="L24" s="69"/>
      <c r="M24" s="69"/>
    </row>
    <row r="25" spans="2:27" x14ac:dyDescent="0.25">
      <c r="B25" s="26" t="s">
        <v>106</v>
      </c>
      <c r="C25" s="180">
        <v>91</v>
      </c>
      <c r="D25" s="26" t="s">
        <v>226</v>
      </c>
      <c r="F25" s="71"/>
      <c r="G25" s="36"/>
      <c r="I25" s="69"/>
      <c r="J25" s="69"/>
      <c r="K25" s="69"/>
      <c r="L25" s="69"/>
      <c r="M25" s="69"/>
    </row>
    <row r="26" spans="2:27" x14ac:dyDescent="0.25">
      <c r="B26" s="183" t="s">
        <v>107</v>
      </c>
      <c r="C26" s="180">
        <v>113</v>
      </c>
      <c r="D26" s="183" t="s">
        <v>226</v>
      </c>
      <c r="F26" s="71"/>
      <c r="G26" s="36"/>
    </row>
    <row r="27" spans="2:27" x14ac:dyDescent="0.25">
      <c r="F27" s="71"/>
      <c r="G27" s="36"/>
      <c r="Q27" s="78"/>
    </row>
    <row r="28" spans="2:27" x14ac:dyDescent="0.25">
      <c r="B28" s="1" t="s">
        <v>345</v>
      </c>
      <c r="G28" s="36"/>
      <c r="Q28" s="69"/>
      <c r="R28" s="77"/>
    </row>
    <row r="29" spans="2:27" x14ac:dyDescent="0.25">
      <c r="B29" s="26" t="s">
        <v>405</v>
      </c>
      <c r="C29" s="197">
        <v>125000</v>
      </c>
      <c r="F29" s="71"/>
      <c r="G29" s="36"/>
    </row>
    <row r="30" spans="2:27" x14ac:dyDescent="0.25">
      <c r="B30" s="26" t="s">
        <v>397</v>
      </c>
      <c r="C30" s="179">
        <v>2</v>
      </c>
      <c r="F30" s="71"/>
      <c r="G30" s="36"/>
    </row>
    <row r="31" spans="2:27" x14ac:dyDescent="0.25">
      <c r="B31" s="26" t="s">
        <v>398</v>
      </c>
      <c r="C31" s="179">
        <v>2</v>
      </c>
      <c r="F31" s="71"/>
      <c r="G31" s="36"/>
    </row>
    <row r="32" spans="2:27" x14ac:dyDescent="0.25">
      <c r="B32" s="26" t="s">
        <v>399</v>
      </c>
      <c r="C32" s="179">
        <v>10</v>
      </c>
      <c r="F32" s="71"/>
      <c r="G32" s="36"/>
    </row>
    <row r="33" spans="2:22" x14ac:dyDescent="0.25">
      <c r="B33" s="26" t="s">
        <v>400</v>
      </c>
      <c r="C33" s="179">
        <v>2</v>
      </c>
      <c r="F33" s="71"/>
      <c r="G33" s="36"/>
    </row>
    <row r="34" spans="2:22" x14ac:dyDescent="0.25">
      <c r="B34" s="26" t="s">
        <v>401</v>
      </c>
      <c r="C34" s="179">
        <v>10</v>
      </c>
      <c r="F34" s="71"/>
      <c r="G34" s="36"/>
    </row>
    <row r="35" spans="2:22" x14ac:dyDescent="0.25">
      <c r="B35" s="26" t="s">
        <v>402</v>
      </c>
      <c r="C35" s="179">
        <v>1</v>
      </c>
      <c r="F35" s="71"/>
      <c r="G35" s="36"/>
    </row>
    <row r="36" spans="2:22" x14ac:dyDescent="0.25">
      <c r="B36" s="72" t="s">
        <v>403</v>
      </c>
      <c r="C36" s="179">
        <v>10</v>
      </c>
      <c r="F36" s="71"/>
      <c r="G36" s="36"/>
    </row>
    <row r="37" spans="2:22" x14ac:dyDescent="0.25">
      <c r="B37" s="183" t="s">
        <v>404</v>
      </c>
      <c r="C37" s="197">
        <v>300000</v>
      </c>
      <c r="D37" s="198" t="s">
        <v>250</v>
      </c>
      <c r="F37" s="71"/>
      <c r="G37" s="36"/>
    </row>
    <row r="38" spans="2:22" x14ac:dyDescent="0.25">
      <c r="F38" s="71"/>
      <c r="G38" s="36"/>
    </row>
    <row r="39" spans="2:22" x14ac:dyDescent="0.25">
      <c r="F39" s="71"/>
      <c r="G39" s="36"/>
    </row>
    <row r="40" spans="2:22" x14ac:dyDescent="0.25">
      <c r="B40" s="74"/>
      <c r="C40" s="74"/>
      <c r="D40" s="74"/>
      <c r="E40" s="74"/>
      <c r="F40" s="74"/>
      <c r="G40" s="74"/>
      <c r="H40" s="74"/>
      <c r="I40" s="74"/>
      <c r="J40" s="74"/>
      <c r="K40" s="74"/>
    </row>
    <row r="41" spans="2:22" x14ac:dyDescent="0.25">
      <c r="B41" s="74"/>
      <c r="C41" s="74"/>
      <c r="D41" s="74"/>
      <c r="E41" s="74"/>
      <c r="F41" s="74"/>
      <c r="G41" s="74"/>
      <c r="H41" s="74"/>
      <c r="I41" s="74"/>
      <c r="J41" s="74"/>
      <c r="K41" s="74"/>
    </row>
    <row r="42" spans="2:22" x14ac:dyDescent="0.25">
      <c r="B42" s="74"/>
      <c r="C42" s="74"/>
      <c r="D42" s="74"/>
      <c r="E42" s="74"/>
      <c r="F42" s="74"/>
      <c r="G42" s="74"/>
      <c r="H42" s="74"/>
      <c r="I42" s="74"/>
      <c r="J42" s="74"/>
      <c r="K42" s="74"/>
    </row>
    <row r="43" spans="2:22" x14ac:dyDescent="0.25">
      <c r="B43" s="74"/>
      <c r="C43" s="74"/>
      <c r="D43" s="74"/>
      <c r="E43" s="74"/>
      <c r="F43" s="74"/>
      <c r="G43" s="74"/>
      <c r="H43" s="74"/>
      <c r="I43" s="74"/>
      <c r="J43" s="74"/>
      <c r="K43" s="74"/>
      <c r="L43" s="70"/>
      <c r="M43" s="70"/>
      <c r="N43" s="70"/>
      <c r="O43" s="70"/>
      <c r="P43" s="70"/>
      <c r="Q43" s="70"/>
      <c r="R43" s="70"/>
      <c r="S43" s="70"/>
      <c r="T43" s="70"/>
      <c r="U43" s="70"/>
      <c r="V43" s="70"/>
    </row>
    <row r="44" spans="2:22" x14ac:dyDescent="0.25">
      <c r="B44" s="74"/>
      <c r="C44" s="74"/>
      <c r="D44" s="74"/>
      <c r="E44" s="74"/>
      <c r="F44" s="74"/>
      <c r="G44" s="74"/>
      <c r="H44" s="74"/>
      <c r="I44" s="74"/>
      <c r="J44" s="74"/>
      <c r="K44" s="7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G102"/>
  <sheetViews>
    <sheetView showGridLines="0" zoomScale="85" zoomScaleNormal="85" workbookViewId="0"/>
  </sheetViews>
  <sheetFormatPr defaultRowHeight="15" x14ac:dyDescent="0.25"/>
  <cols>
    <col min="1" max="1" width="101.28515625" customWidth="1"/>
    <col min="2" max="2" width="17.85546875" customWidth="1"/>
    <col min="3" max="3" width="15.5703125" customWidth="1"/>
    <col min="4" max="4" width="15.42578125" customWidth="1"/>
    <col min="6" max="6" width="13.140625" bestFit="1" customWidth="1"/>
    <col min="7" max="10" width="12.85546875" bestFit="1" customWidth="1"/>
    <col min="11" max="11" width="10" customWidth="1"/>
    <col min="12" max="27" width="12.85546875" bestFit="1" customWidth="1"/>
  </cols>
  <sheetData>
    <row r="1" spans="1:33" ht="21" x14ac:dyDescent="0.35">
      <c r="A1" s="199" t="s">
        <v>406</v>
      </c>
    </row>
    <row r="2" spans="1:33" ht="21" x14ac:dyDescent="0.35">
      <c r="D2" s="73" t="s">
        <v>2</v>
      </c>
    </row>
    <row r="3" spans="1:33" x14ac:dyDescent="0.25">
      <c r="A3" s="1" t="s">
        <v>6</v>
      </c>
      <c r="B3" s="1"/>
      <c r="C3" s="1"/>
      <c r="D3" s="28" t="s">
        <v>263</v>
      </c>
      <c r="E3" s="28"/>
      <c r="F3" s="138">
        <v>2.75E-2</v>
      </c>
    </row>
    <row r="4" spans="1:33" x14ac:dyDescent="0.25">
      <c r="A4" s="90" t="s">
        <v>2</v>
      </c>
      <c r="B4" s="90"/>
      <c r="C4" s="90"/>
      <c r="D4" s="90"/>
      <c r="E4" s="90"/>
      <c r="F4" s="90">
        <v>2021</v>
      </c>
      <c r="G4" s="90">
        <f>F4+1</f>
        <v>2022</v>
      </c>
      <c r="H4" s="90">
        <f t="shared" ref="H4:Y4" si="0">G4+1</f>
        <v>2023</v>
      </c>
      <c r="I4" s="90">
        <f t="shared" si="0"/>
        <v>2024</v>
      </c>
      <c r="J4" s="90">
        <f t="shared" si="0"/>
        <v>2025</v>
      </c>
      <c r="K4" s="90">
        <f t="shared" si="0"/>
        <v>2026</v>
      </c>
      <c r="L4" s="90">
        <f t="shared" si="0"/>
        <v>2027</v>
      </c>
      <c r="M4" s="90">
        <f t="shared" si="0"/>
        <v>2028</v>
      </c>
      <c r="N4" s="90">
        <f t="shared" si="0"/>
        <v>2029</v>
      </c>
      <c r="O4" s="90">
        <f t="shared" si="0"/>
        <v>2030</v>
      </c>
      <c r="P4" s="90">
        <f t="shared" si="0"/>
        <v>2031</v>
      </c>
      <c r="Q4" s="90">
        <f t="shared" si="0"/>
        <v>2032</v>
      </c>
      <c r="R4" s="90">
        <f t="shared" si="0"/>
        <v>2033</v>
      </c>
      <c r="S4" s="90">
        <f t="shared" si="0"/>
        <v>2034</v>
      </c>
      <c r="T4" s="90">
        <f t="shared" si="0"/>
        <v>2035</v>
      </c>
      <c r="U4" s="90">
        <f t="shared" si="0"/>
        <v>2036</v>
      </c>
      <c r="V4" s="90">
        <f t="shared" si="0"/>
        <v>2037</v>
      </c>
      <c r="W4" s="90">
        <f t="shared" si="0"/>
        <v>2038</v>
      </c>
      <c r="X4" s="90">
        <f t="shared" si="0"/>
        <v>2039</v>
      </c>
      <c r="Y4" s="90">
        <f t="shared" si="0"/>
        <v>2040</v>
      </c>
    </row>
    <row r="5" spans="1:33" x14ac:dyDescent="0.25">
      <c r="A5" s="90" t="s">
        <v>3</v>
      </c>
      <c r="B5" s="90"/>
      <c r="C5" s="90"/>
      <c r="D5" s="90"/>
      <c r="E5" s="90"/>
      <c r="F5" s="90">
        <v>1</v>
      </c>
      <c r="G5" s="90">
        <f>F5+1</f>
        <v>2</v>
      </c>
      <c r="H5" s="90">
        <f t="shared" ref="H5:Y5" si="1">G5+1</f>
        <v>3</v>
      </c>
      <c r="I5" s="90">
        <f t="shared" si="1"/>
        <v>4</v>
      </c>
      <c r="J5" s="90">
        <f t="shared" si="1"/>
        <v>5</v>
      </c>
      <c r="K5" s="90">
        <f t="shared" si="1"/>
        <v>6</v>
      </c>
      <c r="L5" s="90">
        <f t="shared" si="1"/>
        <v>7</v>
      </c>
      <c r="M5" s="90">
        <f t="shared" si="1"/>
        <v>8</v>
      </c>
      <c r="N5" s="90">
        <f t="shared" si="1"/>
        <v>9</v>
      </c>
      <c r="O5" s="90">
        <f t="shared" si="1"/>
        <v>10</v>
      </c>
      <c r="P5" s="90">
        <f t="shared" si="1"/>
        <v>11</v>
      </c>
      <c r="Q5" s="90">
        <f t="shared" si="1"/>
        <v>12</v>
      </c>
      <c r="R5" s="90">
        <f t="shared" si="1"/>
        <v>13</v>
      </c>
      <c r="S5" s="90">
        <f t="shared" si="1"/>
        <v>14</v>
      </c>
      <c r="T5" s="90">
        <f t="shared" si="1"/>
        <v>15</v>
      </c>
      <c r="U5" s="90">
        <f t="shared" si="1"/>
        <v>16</v>
      </c>
      <c r="V5" s="90">
        <f t="shared" si="1"/>
        <v>17</v>
      </c>
      <c r="W5" s="90">
        <f t="shared" si="1"/>
        <v>18</v>
      </c>
      <c r="X5" s="90">
        <f t="shared" si="1"/>
        <v>19</v>
      </c>
      <c r="Y5" s="90">
        <f t="shared" si="1"/>
        <v>20</v>
      </c>
    </row>
    <row r="6" spans="1:33" x14ac:dyDescent="0.25">
      <c r="A6" s="17" t="s">
        <v>4</v>
      </c>
      <c r="F6" s="7">
        <f t="shared" ref="F6:Y6" si="2">1/(1+Real_Discount_Rate)^(F5-0.5)*IF(F5&lt;=Project_Assessment_Period,1,0)</f>
        <v>0.98652724733398012</v>
      </c>
      <c r="G6" s="7">
        <f t="shared" si="2"/>
        <v>0.96012384168757192</v>
      </c>
      <c r="H6" s="7">
        <f t="shared" si="2"/>
        <v>0.93442709653291667</v>
      </c>
      <c r="I6" s="7">
        <f t="shared" si="2"/>
        <v>0.90941809881549063</v>
      </c>
      <c r="J6" s="7">
        <f t="shared" si="2"/>
        <v>0.88507844166957705</v>
      </c>
      <c r="K6" s="7">
        <f t="shared" si="2"/>
        <v>0.86139021087063461</v>
      </c>
      <c r="L6" s="7">
        <f t="shared" si="2"/>
        <v>0.83833597165025253</v>
      </c>
      <c r="M6" s="7">
        <f t="shared" si="2"/>
        <v>0.81589875586399274</v>
      </c>
      <c r="N6" s="7">
        <f t="shared" si="2"/>
        <v>0.79406204950266923</v>
      </c>
      <c r="O6" s="7">
        <f t="shared" si="2"/>
        <v>0.77280978053787752</v>
      </c>
      <c r="P6" s="7">
        <f t="shared" si="2"/>
        <v>0.75212630709282469</v>
      </c>
      <c r="Q6" s="7">
        <f t="shared" si="2"/>
        <v>0.73199640592975646</v>
      </c>
      <c r="R6" s="7">
        <f t="shared" si="2"/>
        <v>0.71240526124550507</v>
      </c>
      <c r="S6" s="7">
        <f t="shared" si="2"/>
        <v>0.69333845376691472</v>
      </c>
      <c r="T6" s="7">
        <f t="shared" si="2"/>
        <v>0.67478195013811648</v>
      </c>
      <c r="U6" s="7">
        <f t="shared" si="2"/>
        <v>0.65672209259184078</v>
      </c>
      <c r="V6" s="7">
        <f t="shared" si="2"/>
        <v>0.63914558889716866</v>
      </c>
      <c r="W6" s="7">
        <f t="shared" si="2"/>
        <v>0.62203950257631979</v>
      </c>
      <c r="X6" s="7">
        <f t="shared" si="2"/>
        <v>0.60539124338327954</v>
      </c>
      <c r="Y6" s="7">
        <f t="shared" si="2"/>
        <v>0.58918855803725501</v>
      </c>
      <c r="Z6" s="7"/>
      <c r="AA6" s="7"/>
    </row>
    <row r="10" spans="1:33" ht="18.75" x14ac:dyDescent="0.3">
      <c r="A10" s="45" t="s">
        <v>303</v>
      </c>
      <c r="B10" s="44"/>
      <c r="C10" s="44"/>
      <c r="D10" s="44"/>
      <c r="E10" s="44"/>
      <c r="F10" s="44"/>
      <c r="G10" s="44"/>
      <c r="H10" s="44"/>
      <c r="I10" s="44"/>
      <c r="J10" s="44"/>
      <c r="K10" s="44"/>
      <c r="L10" s="44"/>
      <c r="M10" s="44"/>
      <c r="N10" s="44"/>
      <c r="O10" s="44"/>
      <c r="P10" s="44"/>
      <c r="Q10" s="44"/>
      <c r="R10" s="44"/>
      <c r="S10" s="44"/>
      <c r="T10" s="44"/>
      <c r="U10" s="44"/>
      <c r="V10" s="44"/>
      <c r="W10" s="44"/>
      <c r="X10" s="44"/>
      <c r="Y10" s="44"/>
    </row>
    <row r="11" spans="1:33" ht="15.75" x14ac:dyDescent="0.25">
      <c r="C11" s="4"/>
      <c r="D11" s="4"/>
      <c r="E11" s="58" t="s">
        <v>7</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row>
    <row r="12" spans="1:33" x14ac:dyDescent="0.25">
      <c r="A12" s="200" t="str">
        <f>'Benefit Input Pars'!A28</f>
        <v>Benefit Category 1 - Reduction in Non Technical Losses</v>
      </c>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row>
    <row r="13" spans="1:33" x14ac:dyDescent="0.25">
      <c r="A13" s="109" t="s">
        <v>304</v>
      </c>
      <c r="B13" t="s">
        <v>12</v>
      </c>
      <c r="F13" s="7">
        <f t="shared" ref="F13:Y13" si="3">Electricity_Distibuted_in_VPN*Initiative6_Percentage_of_Energy_Theft_in_Victoria</f>
        <v>4.9910999999999994</v>
      </c>
      <c r="G13" s="7">
        <f t="shared" si="3"/>
        <v>4.9910999999999994</v>
      </c>
      <c r="H13" s="7">
        <f t="shared" si="3"/>
        <v>4.9910999999999994</v>
      </c>
      <c r="I13" s="7">
        <f t="shared" si="3"/>
        <v>4.9910999999999994</v>
      </c>
      <c r="J13" s="7">
        <f t="shared" si="3"/>
        <v>4.9910999999999994</v>
      </c>
      <c r="K13" s="7">
        <f t="shared" si="3"/>
        <v>4.9910999999999994</v>
      </c>
      <c r="L13" s="7">
        <f t="shared" si="3"/>
        <v>4.9910999999999994</v>
      </c>
      <c r="M13" s="7">
        <f t="shared" si="3"/>
        <v>4.9910999999999994</v>
      </c>
      <c r="N13" s="7">
        <f t="shared" si="3"/>
        <v>4.9910999999999994</v>
      </c>
      <c r="O13" s="7">
        <f t="shared" si="3"/>
        <v>4.9910999999999994</v>
      </c>
      <c r="P13" s="7">
        <f t="shared" si="3"/>
        <v>4.9910999999999994</v>
      </c>
      <c r="Q13" s="7">
        <f t="shared" si="3"/>
        <v>4.9910999999999994</v>
      </c>
      <c r="R13" s="7">
        <f t="shared" si="3"/>
        <v>4.9910999999999994</v>
      </c>
      <c r="S13" s="7">
        <f t="shared" si="3"/>
        <v>4.9910999999999994</v>
      </c>
      <c r="T13" s="7">
        <f t="shared" si="3"/>
        <v>4.9910999999999994</v>
      </c>
      <c r="U13" s="7">
        <f t="shared" si="3"/>
        <v>4.9910999999999994</v>
      </c>
      <c r="V13" s="7">
        <f t="shared" si="3"/>
        <v>4.9910999999999994</v>
      </c>
      <c r="W13" s="7">
        <f t="shared" si="3"/>
        <v>4.9910999999999994</v>
      </c>
      <c r="X13" s="7">
        <f t="shared" si="3"/>
        <v>4.9910999999999994</v>
      </c>
      <c r="Y13" s="7">
        <f t="shared" si="3"/>
        <v>4.9910999999999994</v>
      </c>
      <c r="Z13" s="7"/>
      <c r="AA13" s="7"/>
      <c r="AB13" s="7"/>
      <c r="AC13" s="7"/>
      <c r="AD13" s="7"/>
      <c r="AE13" s="7"/>
      <c r="AF13" s="7"/>
      <c r="AG13" s="7"/>
    </row>
    <row r="14" spans="1:33" x14ac:dyDescent="0.25">
      <c r="A14" s="109" t="s">
        <v>305</v>
      </c>
      <c r="B14" t="s">
        <v>7</v>
      </c>
      <c r="F14" s="14">
        <f t="shared" ref="F14:Y14" si="4">F13*Initiative6_Value_per_KWH_saved</f>
        <v>0.99821999999999989</v>
      </c>
      <c r="G14" s="14">
        <f t="shared" si="4"/>
        <v>0.99821999999999989</v>
      </c>
      <c r="H14" s="14">
        <f t="shared" si="4"/>
        <v>0.99821999999999989</v>
      </c>
      <c r="I14" s="14">
        <f t="shared" si="4"/>
        <v>0.99821999999999989</v>
      </c>
      <c r="J14" s="14">
        <f t="shared" si="4"/>
        <v>0.99821999999999989</v>
      </c>
      <c r="K14" s="14">
        <f t="shared" si="4"/>
        <v>0.99821999999999989</v>
      </c>
      <c r="L14" s="14">
        <f t="shared" si="4"/>
        <v>0.99821999999999989</v>
      </c>
      <c r="M14" s="14">
        <f t="shared" si="4"/>
        <v>0.99821999999999989</v>
      </c>
      <c r="N14" s="14">
        <f t="shared" si="4"/>
        <v>0.99821999999999989</v>
      </c>
      <c r="O14" s="14">
        <f t="shared" si="4"/>
        <v>0.99821999999999989</v>
      </c>
      <c r="P14" s="14">
        <f t="shared" si="4"/>
        <v>0.99821999999999989</v>
      </c>
      <c r="Q14" s="14">
        <f t="shared" si="4"/>
        <v>0.99821999999999989</v>
      </c>
      <c r="R14" s="14">
        <f t="shared" si="4"/>
        <v>0.99821999999999989</v>
      </c>
      <c r="S14" s="14">
        <f t="shared" si="4"/>
        <v>0.99821999999999989</v>
      </c>
      <c r="T14" s="14">
        <f t="shared" si="4"/>
        <v>0.99821999999999989</v>
      </c>
      <c r="U14" s="14">
        <f t="shared" si="4"/>
        <v>0.99821999999999989</v>
      </c>
      <c r="V14" s="14">
        <f t="shared" si="4"/>
        <v>0.99821999999999989</v>
      </c>
      <c r="W14" s="14">
        <f t="shared" si="4"/>
        <v>0.99821999999999989</v>
      </c>
      <c r="X14" s="14">
        <f t="shared" si="4"/>
        <v>0.99821999999999989</v>
      </c>
      <c r="Y14" s="14">
        <f t="shared" si="4"/>
        <v>0.99821999999999989</v>
      </c>
      <c r="Z14" s="14"/>
      <c r="AA14" s="14"/>
      <c r="AB14" s="14"/>
      <c r="AC14" s="14"/>
      <c r="AD14" s="14"/>
      <c r="AE14" s="14"/>
      <c r="AF14" s="7"/>
      <c r="AG14" s="7"/>
    </row>
    <row r="15" spans="1:33" ht="15.75" x14ac:dyDescent="0.25">
      <c r="A15" s="156" t="s">
        <v>13</v>
      </c>
      <c r="B15" s="91" t="s">
        <v>7</v>
      </c>
      <c r="C15" s="202" t="s">
        <v>9</v>
      </c>
      <c r="D15" s="203">
        <f>SUMPRODUCT(F15:Y15,F$6:Y$6)</f>
        <v>3.6057402402706895</v>
      </c>
      <c r="E15" s="204">
        <f>SUM(F15:Y15)</f>
        <v>4.7415449999999995</v>
      </c>
      <c r="F15" s="205">
        <f t="shared" ref="F15:Y15" si="5">IF(F5&gt;=Initiative6_Year_when_Option_1_Theft_Detection_Available,F14*Initiative6_Percentage_theft_reduction_with_Flex_Grid_Option_1,0)</f>
        <v>0</v>
      </c>
      <c r="G15" s="205">
        <f t="shared" si="5"/>
        <v>0.24955499999999997</v>
      </c>
      <c r="H15" s="205">
        <f t="shared" si="5"/>
        <v>0.24955499999999997</v>
      </c>
      <c r="I15" s="205">
        <f t="shared" si="5"/>
        <v>0.24955499999999997</v>
      </c>
      <c r="J15" s="205">
        <f t="shared" si="5"/>
        <v>0.24955499999999997</v>
      </c>
      <c r="K15" s="205">
        <f t="shared" si="5"/>
        <v>0.24955499999999997</v>
      </c>
      <c r="L15" s="205">
        <f t="shared" si="5"/>
        <v>0.24955499999999997</v>
      </c>
      <c r="M15" s="205">
        <f t="shared" si="5"/>
        <v>0.24955499999999997</v>
      </c>
      <c r="N15" s="205">
        <f t="shared" si="5"/>
        <v>0.24955499999999997</v>
      </c>
      <c r="O15" s="205">
        <f t="shared" si="5"/>
        <v>0.24955499999999997</v>
      </c>
      <c r="P15" s="205">
        <f t="shared" si="5"/>
        <v>0.24955499999999997</v>
      </c>
      <c r="Q15" s="205">
        <f t="shared" si="5"/>
        <v>0.24955499999999997</v>
      </c>
      <c r="R15" s="205">
        <f t="shared" si="5"/>
        <v>0.24955499999999997</v>
      </c>
      <c r="S15" s="205">
        <f t="shared" si="5"/>
        <v>0.24955499999999997</v>
      </c>
      <c r="T15" s="205">
        <f t="shared" si="5"/>
        <v>0.24955499999999997</v>
      </c>
      <c r="U15" s="205">
        <f t="shared" si="5"/>
        <v>0.24955499999999997</v>
      </c>
      <c r="V15" s="205">
        <f t="shared" si="5"/>
        <v>0.24955499999999997</v>
      </c>
      <c r="W15" s="205">
        <f t="shared" si="5"/>
        <v>0.24955499999999997</v>
      </c>
      <c r="X15" s="205">
        <f t="shared" si="5"/>
        <v>0.24955499999999997</v>
      </c>
      <c r="Y15" s="205">
        <f t="shared" si="5"/>
        <v>0.24955499999999997</v>
      </c>
      <c r="Z15" s="7"/>
      <c r="AA15" s="7"/>
      <c r="AB15" s="7"/>
      <c r="AC15" s="7"/>
      <c r="AD15" s="7"/>
      <c r="AE15" s="7"/>
      <c r="AF15" s="7"/>
      <c r="AG15" s="7"/>
    </row>
    <row r="16" spans="1:33" x14ac:dyDescent="0.25">
      <c r="A16" s="109"/>
      <c r="E16" s="60"/>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row>
    <row r="17" spans="1:33" x14ac:dyDescent="0.25">
      <c r="A17" s="200" t="str">
        <f>'Benefit Input Pars'!A41</f>
        <v>Benefit Category 2 - Cost Reflective Pricing</v>
      </c>
      <c r="E17" s="60"/>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row>
    <row r="18" spans="1:33" ht="15.75" x14ac:dyDescent="0.25">
      <c r="A18" s="109" t="s">
        <v>31</v>
      </c>
      <c r="B18" t="s">
        <v>7</v>
      </c>
      <c r="C18" s="3" t="s">
        <v>14</v>
      </c>
      <c r="D18" s="3" t="s">
        <v>14</v>
      </c>
      <c r="E18" s="60"/>
      <c r="F18" s="7">
        <f t="shared" ref="F18:Y18" si="6">IF(F5&gt;=Initiative7_Year_when_Flexible_Grid_Network_available_for_Summer_Saver_Program_for__VPN_with_Option_1,Initiative7_Annual_Equivalent_Savings_available_from_Commencement_of_a_VPN_Summer_Saver_Program_for_Option_1,0)</f>
        <v>0</v>
      </c>
      <c r="G18" s="7">
        <f t="shared" si="6"/>
        <v>0</v>
      </c>
      <c r="H18" s="7">
        <f t="shared" si="6"/>
        <v>12</v>
      </c>
      <c r="I18" s="7">
        <f t="shared" si="6"/>
        <v>12</v>
      </c>
      <c r="J18" s="7">
        <f t="shared" si="6"/>
        <v>12</v>
      </c>
      <c r="K18" s="7">
        <f t="shared" si="6"/>
        <v>12</v>
      </c>
      <c r="L18" s="7">
        <f t="shared" si="6"/>
        <v>12</v>
      </c>
      <c r="M18" s="7">
        <f t="shared" si="6"/>
        <v>12</v>
      </c>
      <c r="N18" s="7">
        <f t="shared" si="6"/>
        <v>12</v>
      </c>
      <c r="O18" s="7">
        <f t="shared" si="6"/>
        <v>12</v>
      </c>
      <c r="P18" s="7">
        <f t="shared" si="6"/>
        <v>12</v>
      </c>
      <c r="Q18" s="7">
        <f t="shared" si="6"/>
        <v>12</v>
      </c>
      <c r="R18" s="7">
        <f t="shared" si="6"/>
        <v>12</v>
      </c>
      <c r="S18" s="7">
        <f t="shared" si="6"/>
        <v>12</v>
      </c>
      <c r="T18" s="7">
        <f t="shared" si="6"/>
        <v>12</v>
      </c>
      <c r="U18" s="7">
        <f t="shared" si="6"/>
        <v>12</v>
      </c>
      <c r="V18" s="7">
        <f t="shared" si="6"/>
        <v>12</v>
      </c>
      <c r="W18" s="7">
        <f t="shared" si="6"/>
        <v>12</v>
      </c>
      <c r="X18" s="7">
        <f t="shared" si="6"/>
        <v>12</v>
      </c>
      <c r="Y18" s="7">
        <f t="shared" si="6"/>
        <v>12</v>
      </c>
      <c r="Z18" s="7"/>
      <c r="AA18" s="7"/>
      <c r="AB18" s="7"/>
      <c r="AC18" s="7"/>
      <c r="AD18" s="7"/>
      <c r="AE18" s="7"/>
      <c r="AF18" s="7"/>
      <c r="AG18" s="7"/>
    </row>
    <row r="19" spans="1:33" s="51" customFormat="1" ht="15.75" x14ac:dyDescent="0.25">
      <c r="A19" s="156" t="s">
        <v>271</v>
      </c>
      <c r="B19" s="91" t="s">
        <v>7</v>
      </c>
      <c r="C19" s="202" t="s">
        <v>9</v>
      </c>
      <c r="D19" s="206">
        <f>SUMPRODUCT(F19:Y19,F$6:Y$6)</f>
        <v>10.623547005422809</v>
      </c>
      <c r="E19" s="204">
        <f>SUM(F19:Y19)</f>
        <v>12</v>
      </c>
      <c r="F19" s="205">
        <f>IF(F5&gt;=(Initiative7_Year_when_Flexible_Grid_Network_available_for_Summer_Saver_Program_for__VPN_with_Option_1+'Benefit Input Pars'!$B$44),IF(SUM(0)&lt;('Benefit Input Pars'!$B$43),Initiative7_Annual_Equivalent_Savings_available_from_Commencement_of_a_VPN_Summer_Saver_Program_for_Option_1,0),0)*IF((F5-Initiative7_Year_when_Flexible_Grid_Network_available_for_Summer_Saver_Program_for__VPN_with_Option_1-'Benefit Input Pars'!$B$44)&lt;'Benefit Input Pars'!$B$46,(1/'Benefit Input Pars'!$B$46),0)</f>
        <v>0</v>
      </c>
      <c r="G19" s="205">
        <f>IF(G5&gt;=(Initiative7_Year_when_Flexible_Grid_Network_available_for_Summer_Saver_Program_for__VPN_with_Option_1+'Benefit Input Pars'!$B$44),IF(SUM('Benefit Calcs'!$F$19:F19)&lt;('Benefit Input Pars'!$B$43),Initiative7_Annual_Equivalent_Savings_available_from_Commencement_of_a_VPN_Summer_Saver_Program_for_Option_1,0),0)*IF((G5-Initiative7_Year_when_Flexible_Grid_Network_available_for_Summer_Saver_Program_for__VPN_with_Option_1-'Benefit Input Pars'!$B$44)&lt;'Benefit Input Pars'!$B$46,(1/'Benefit Input Pars'!$B$46),0)</f>
        <v>0</v>
      </c>
      <c r="H19" s="205">
        <f>IF(H5&gt;=(Initiative7_Year_when_Flexible_Grid_Network_available_for_Summer_Saver_Program_for__VPN_with_Option_1+'Benefit Input Pars'!$B$44),IF(SUM('Benefit Calcs'!$F$19:G19)&lt;('Benefit Input Pars'!$B$43),Initiative7_Annual_Equivalent_Savings_available_from_Commencement_of_a_VPN_Summer_Saver_Program_for_Option_1,0),0)*IF((H5-Initiative7_Year_when_Flexible_Grid_Network_available_for_Summer_Saver_Program_for__VPN_with_Option_1-'Benefit Input Pars'!$B$44)&lt;'Benefit Input Pars'!$B$46,(1/'Benefit Input Pars'!$B$46),0)</f>
        <v>0</v>
      </c>
      <c r="I19" s="205">
        <f>IF(I5&gt;=(Initiative7_Year_when_Flexible_Grid_Network_available_for_Summer_Saver_Program_for__VPN_with_Option_1+'Benefit Input Pars'!$B$44),IF(SUM('Benefit Calcs'!$F$19:H19)&lt;('Benefit Input Pars'!$B$43),Initiative7_Annual_Equivalent_Savings_available_from_Commencement_of_a_VPN_Summer_Saver_Program_for_Option_1,0),0)*IF((I5-Initiative7_Year_when_Flexible_Grid_Network_available_for_Summer_Saver_Program_for__VPN_with_Option_1-'Benefit Input Pars'!$B$44)&lt;'Benefit Input Pars'!$B$46,(1/'Benefit Input Pars'!$B$46),0)</f>
        <v>4</v>
      </c>
      <c r="J19" s="205">
        <f>IF(J5&gt;=(Initiative7_Year_when_Flexible_Grid_Network_available_for_Summer_Saver_Program_for__VPN_with_Option_1+'Benefit Input Pars'!$B$44),IF(SUM('Benefit Calcs'!$F$19:I19)&lt;('Benefit Input Pars'!$B$43),Initiative7_Annual_Equivalent_Savings_available_from_Commencement_of_a_VPN_Summer_Saver_Program_for_Option_1,0),0)*IF((J5-Initiative7_Year_when_Flexible_Grid_Network_available_for_Summer_Saver_Program_for__VPN_with_Option_1-'Benefit Input Pars'!$B$44)&lt;'Benefit Input Pars'!$B$46,(1/'Benefit Input Pars'!$B$46),0)</f>
        <v>4</v>
      </c>
      <c r="K19" s="205">
        <f>IF(K5&gt;=(Initiative7_Year_when_Flexible_Grid_Network_available_for_Summer_Saver_Program_for__VPN_with_Option_1+'Benefit Input Pars'!$B$44),IF(SUM('Benefit Calcs'!$F$19:J19)&lt;('Benefit Input Pars'!$B$43),Initiative7_Annual_Equivalent_Savings_available_from_Commencement_of_a_VPN_Summer_Saver_Program_for_Option_1,0),0)*IF((K5-Initiative7_Year_when_Flexible_Grid_Network_available_for_Summer_Saver_Program_for__VPN_with_Option_1-'Benefit Input Pars'!$B$44)&lt;'Benefit Input Pars'!$B$46,(1/'Benefit Input Pars'!$B$46),0)</f>
        <v>4</v>
      </c>
      <c r="L19" s="205">
        <f>IF(L5&gt;=(Initiative7_Year_when_Flexible_Grid_Network_available_for_Summer_Saver_Program_for__VPN_with_Option_1+'Benefit Input Pars'!$B$44),IF(SUM('Benefit Calcs'!$F$19:K19)&lt;('Benefit Input Pars'!$B$43),Initiative7_Annual_Equivalent_Savings_available_from_Commencement_of_a_VPN_Summer_Saver_Program_for_Option_1,0),0)*IF((L5-Initiative7_Year_when_Flexible_Grid_Network_available_for_Summer_Saver_Program_for__VPN_with_Option_1-'Benefit Input Pars'!$B$44)&lt;'Benefit Input Pars'!$B$46,(1/'Benefit Input Pars'!$B$46),0)</f>
        <v>0</v>
      </c>
      <c r="M19" s="205">
        <f>IF(M5&gt;=(Initiative7_Year_when_Flexible_Grid_Network_available_for_Summer_Saver_Program_for__VPN_with_Option_1+'Benefit Input Pars'!$B$44),IF(SUM('Benefit Calcs'!$F$19:L19)&lt;('Benefit Input Pars'!$B$43),Initiative7_Annual_Equivalent_Savings_available_from_Commencement_of_a_VPN_Summer_Saver_Program_for_Option_1,0),0)*IF((M5-Initiative7_Year_when_Flexible_Grid_Network_available_for_Summer_Saver_Program_for__VPN_with_Option_1-'Benefit Input Pars'!$B$44)&lt;'Benefit Input Pars'!$B$46,(1/'Benefit Input Pars'!$B$46),0)</f>
        <v>0</v>
      </c>
      <c r="N19" s="205">
        <f>IF(N5&gt;=(Initiative7_Year_when_Flexible_Grid_Network_available_for_Summer_Saver_Program_for__VPN_with_Option_1+'Benefit Input Pars'!$B$44),IF(SUM('Benefit Calcs'!$F$19:M19)&lt;('Benefit Input Pars'!$B$43),Initiative7_Annual_Equivalent_Savings_available_from_Commencement_of_a_VPN_Summer_Saver_Program_for_Option_1,0),0)*IF((N5-Initiative7_Year_when_Flexible_Grid_Network_available_for_Summer_Saver_Program_for__VPN_with_Option_1-'Benefit Input Pars'!$B$44)&lt;'Benefit Input Pars'!$B$46,(1/'Benefit Input Pars'!$B$46),0)</f>
        <v>0</v>
      </c>
      <c r="O19" s="205">
        <f>IF(O5&gt;=(Initiative7_Year_when_Flexible_Grid_Network_available_for_Summer_Saver_Program_for__VPN_with_Option_1+'Benefit Input Pars'!$B$44),IF(SUM('Benefit Calcs'!$F$19:N19)&lt;('Benefit Input Pars'!$B$43),Initiative7_Annual_Equivalent_Savings_available_from_Commencement_of_a_VPN_Summer_Saver_Program_for_Option_1,0),0)*IF((O5-Initiative7_Year_when_Flexible_Grid_Network_available_for_Summer_Saver_Program_for__VPN_with_Option_1-'Benefit Input Pars'!$B$44)&lt;'Benefit Input Pars'!$B$46,(1/'Benefit Input Pars'!$B$46),0)</f>
        <v>0</v>
      </c>
      <c r="P19" s="205">
        <f>IF(P5&gt;=(Initiative7_Year_when_Flexible_Grid_Network_available_for_Summer_Saver_Program_for__VPN_with_Option_1+'Benefit Input Pars'!$B$44),IF(SUM('Benefit Calcs'!$F$19:O19)&lt;('Benefit Input Pars'!$B$43),Initiative7_Annual_Equivalent_Savings_available_from_Commencement_of_a_VPN_Summer_Saver_Program_for_Option_1,0),0)*IF((P5-Initiative7_Year_when_Flexible_Grid_Network_available_for_Summer_Saver_Program_for__VPN_with_Option_1-'Benefit Input Pars'!$B$44)&lt;'Benefit Input Pars'!$B$46,(1/'Benefit Input Pars'!$B$46),0)</f>
        <v>0</v>
      </c>
      <c r="Q19" s="205">
        <f>IF(Q5&gt;=(Initiative7_Year_when_Flexible_Grid_Network_available_for_Summer_Saver_Program_for__VPN_with_Option_1+'Benefit Input Pars'!$B$44),IF(SUM('Benefit Calcs'!$F$19:P19)&lt;('Benefit Input Pars'!$B$43),Initiative7_Annual_Equivalent_Savings_available_from_Commencement_of_a_VPN_Summer_Saver_Program_for_Option_1,0),0)*IF((Q5-Initiative7_Year_when_Flexible_Grid_Network_available_for_Summer_Saver_Program_for__VPN_with_Option_1-'Benefit Input Pars'!$B$44)&lt;'Benefit Input Pars'!$B$46,(1/'Benefit Input Pars'!$B$46),0)</f>
        <v>0</v>
      </c>
      <c r="R19" s="205">
        <f>IF(R5&gt;=(Initiative7_Year_when_Flexible_Grid_Network_available_for_Summer_Saver_Program_for__VPN_with_Option_1+'Benefit Input Pars'!$B$44),IF(SUM('Benefit Calcs'!$F$19:Q19)&lt;('Benefit Input Pars'!$B$43),Initiative7_Annual_Equivalent_Savings_available_from_Commencement_of_a_VPN_Summer_Saver_Program_for_Option_1,0),0)*IF((R5-Initiative7_Year_when_Flexible_Grid_Network_available_for_Summer_Saver_Program_for__VPN_with_Option_1-'Benefit Input Pars'!$B$44)&lt;'Benefit Input Pars'!$B$46,(1/'Benefit Input Pars'!$B$46),0)</f>
        <v>0</v>
      </c>
      <c r="S19" s="205">
        <f>IF(S5&gt;=(Initiative7_Year_when_Flexible_Grid_Network_available_for_Summer_Saver_Program_for__VPN_with_Option_1+'Benefit Input Pars'!$B$44),IF(SUM('Benefit Calcs'!$F$19:R19)&lt;('Benefit Input Pars'!$B$43),Initiative7_Annual_Equivalent_Savings_available_from_Commencement_of_a_VPN_Summer_Saver_Program_for_Option_1,0),0)*IF((S5-Initiative7_Year_when_Flexible_Grid_Network_available_for_Summer_Saver_Program_for__VPN_with_Option_1-'Benefit Input Pars'!$B$44)&lt;'Benefit Input Pars'!$B$46,(1/'Benefit Input Pars'!$B$46),0)</f>
        <v>0</v>
      </c>
      <c r="T19" s="205">
        <f>IF(T5&gt;=(Initiative7_Year_when_Flexible_Grid_Network_available_for_Summer_Saver_Program_for__VPN_with_Option_1+'Benefit Input Pars'!$B$44),IF(SUM('Benefit Calcs'!$F$19:S19)&lt;('Benefit Input Pars'!$B$43),Initiative7_Annual_Equivalent_Savings_available_from_Commencement_of_a_VPN_Summer_Saver_Program_for_Option_1,0),0)*IF((T5-Initiative7_Year_when_Flexible_Grid_Network_available_for_Summer_Saver_Program_for__VPN_with_Option_1-'Benefit Input Pars'!$B$44)&lt;'Benefit Input Pars'!$B$46,(1/'Benefit Input Pars'!$B$46),0)</f>
        <v>0</v>
      </c>
      <c r="U19" s="205">
        <f>IF(U5&gt;=(Initiative7_Year_when_Flexible_Grid_Network_available_for_Summer_Saver_Program_for__VPN_with_Option_1+'Benefit Input Pars'!$B$44),IF(SUM('Benefit Calcs'!$F$19:T19)&lt;('Benefit Input Pars'!$B$43),Initiative7_Annual_Equivalent_Savings_available_from_Commencement_of_a_VPN_Summer_Saver_Program_for_Option_1,0),0)*IF((U5-Initiative7_Year_when_Flexible_Grid_Network_available_for_Summer_Saver_Program_for__VPN_with_Option_1-'Benefit Input Pars'!$B$44)&lt;'Benefit Input Pars'!$B$46,(1/'Benefit Input Pars'!$B$46),0)</f>
        <v>0</v>
      </c>
      <c r="V19" s="205">
        <f>IF(V5&gt;=(Initiative7_Year_when_Flexible_Grid_Network_available_for_Summer_Saver_Program_for__VPN_with_Option_1+'Benefit Input Pars'!$B$44),IF(SUM('Benefit Calcs'!$F$19:U19)&lt;('Benefit Input Pars'!$B$43),Initiative7_Annual_Equivalent_Savings_available_from_Commencement_of_a_VPN_Summer_Saver_Program_for_Option_1,0),0)*IF((V5-Initiative7_Year_when_Flexible_Grid_Network_available_for_Summer_Saver_Program_for__VPN_with_Option_1-'Benefit Input Pars'!$B$44)&lt;'Benefit Input Pars'!$B$46,(1/'Benefit Input Pars'!$B$46),0)</f>
        <v>0</v>
      </c>
      <c r="W19" s="205">
        <f>IF(W5&gt;=(Initiative7_Year_when_Flexible_Grid_Network_available_for_Summer_Saver_Program_for__VPN_with_Option_1+'Benefit Input Pars'!$B$44),IF(SUM('Benefit Calcs'!$F$19:V19)&lt;('Benefit Input Pars'!$B$43),Initiative7_Annual_Equivalent_Savings_available_from_Commencement_of_a_VPN_Summer_Saver_Program_for_Option_1,0),0)*IF((W5-Initiative7_Year_when_Flexible_Grid_Network_available_for_Summer_Saver_Program_for__VPN_with_Option_1-'Benefit Input Pars'!$B$44)&lt;'Benefit Input Pars'!$B$46,(1/'Benefit Input Pars'!$B$46),0)</f>
        <v>0</v>
      </c>
      <c r="X19" s="205">
        <f>IF(X5&gt;=(Initiative7_Year_when_Flexible_Grid_Network_available_for_Summer_Saver_Program_for__VPN_with_Option_1+'Benefit Input Pars'!$B$44),IF(SUM('Benefit Calcs'!$F$19:W19)&lt;('Benefit Input Pars'!$B$43),Initiative7_Annual_Equivalent_Savings_available_from_Commencement_of_a_VPN_Summer_Saver_Program_for_Option_1,0),0)*IF((X5-Initiative7_Year_when_Flexible_Grid_Network_available_for_Summer_Saver_Program_for__VPN_with_Option_1-'Benefit Input Pars'!$B$44)&lt;'Benefit Input Pars'!$B$46,(1/'Benefit Input Pars'!$B$46),0)</f>
        <v>0</v>
      </c>
      <c r="Y19" s="205">
        <f>IF(Y5&gt;=(Initiative7_Year_when_Flexible_Grid_Network_available_for_Summer_Saver_Program_for__VPN_with_Option_1+'Benefit Input Pars'!$B$44),IF(SUM('Benefit Calcs'!$F$19:X19)&lt;('Benefit Input Pars'!$B$43),Initiative7_Annual_Equivalent_Savings_available_from_Commencement_of_a_VPN_Summer_Saver_Program_for_Option_1,0),0)*IF((Y5-Initiative7_Year_when_Flexible_Grid_Network_available_for_Summer_Saver_Program_for__VPN_with_Option_1-'Benefit Input Pars'!$B$44)&lt;'Benefit Input Pars'!$B$46,(1/'Benefit Input Pars'!$B$46),0)</f>
        <v>0</v>
      </c>
      <c r="Z19" s="7"/>
      <c r="AA19" s="7"/>
      <c r="AB19" s="7"/>
      <c r="AC19" s="7"/>
      <c r="AD19" s="7"/>
      <c r="AE19" s="7"/>
      <c r="AF19" s="7"/>
      <c r="AG19" s="7"/>
    </row>
    <row r="20" spans="1:33" x14ac:dyDescent="0.25">
      <c r="A20" s="109"/>
      <c r="D20" s="49"/>
      <c r="E20" s="60"/>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row>
    <row r="21" spans="1:33" x14ac:dyDescent="0.25">
      <c r="A21" s="200" t="str">
        <f>'Benefit Input Pars'!A48</f>
        <v>Benefit Category 3 - Electric Vehicle (EV) Charging Optimisation</v>
      </c>
      <c r="E21" s="60"/>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row>
    <row r="22" spans="1:33" x14ac:dyDescent="0.25">
      <c r="A22" s="109" t="s">
        <v>231</v>
      </c>
      <c r="B22" t="s">
        <v>167</v>
      </c>
      <c r="E22" s="60"/>
      <c r="F22" s="29">
        <f>F26/'Time Series Data Inputs'!D22</f>
        <v>0</v>
      </c>
      <c r="G22" s="29">
        <f>G26/'Time Series Data Inputs'!E22</f>
        <v>700.48893747157194</v>
      </c>
      <c r="H22" s="29">
        <f>H26/'Time Series Data Inputs'!F22</f>
        <v>578.76569328155097</v>
      </c>
      <c r="I22" s="29">
        <f>I26/'Time Series Data Inputs'!G22</f>
        <v>1058.4414072580666</v>
      </c>
      <c r="J22" s="29">
        <f>J26/'Time Series Data Inputs'!H22</f>
        <v>1590.9482399366705</v>
      </c>
      <c r="K22" s="29">
        <f>K26/'Time Series Data Inputs'!I22</f>
        <v>2357.8948950691947</v>
      </c>
      <c r="L22" s="29">
        <f>L26/'Time Series Data Inputs'!J22</f>
        <v>3347.524608712491</v>
      </c>
      <c r="M22" s="29">
        <f>M26/'Time Series Data Inputs'!K22</f>
        <v>4216.9061578041255</v>
      </c>
      <c r="N22" s="29">
        <f>N26/'Time Series Data Inputs'!L22</f>
        <v>5513.5076295626031</v>
      </c>
      <c r="O22" s="29">
        <f>O26/'Time Series Data Inputs'!M22</f>
        <v>6355.9631076844962</v>
      </c>
      <c r="P22" s="29">
        <f>P26/'Time Series Data Inputs'!N22</f>
        <v>8068.8506913768761</v>
      </c>
      <c r="Q22" s="29">
        <f>Q26/'Time Series Data Inputs'!O22</f>
        <v>9235.5790123229363</v>
      </c>
      <c r="R22" s="29">
        <f>R26/'Time Series Data Inputs'!P22</f>
        <v>9751.5453685990851</v>
      </c>
      <c r="S22" s="29">
        <f>S26/'Time Series Data Inputs'!Q22</f>
        <v>11989.22215274062</v>
      </c>
      <c r="T22" s="29">
        <f>T26/'Time Series Data Inputs'!R22</f>
        <v>13467.323275603258</v>
      </c>
      <c r="U22" s="29">
        <f>U26/'Time Series Data Inputs'!S22</f>
        <v>20246.548783441362</v>
      </c>
      <c r="V22" s="29">
        <f>V26/'Time Series Data Inputs'!T22</f>
        <v>16714.84151488982</v>
      </c>
      <c r="W22" s="29">
        <f>W26/'Time Series Data Inputs'!U22</f>
        <v>17169.100315123014</v>
      </c>
      <c r="X22" s="29">
        <f>X26/'Time Series Data Inputs'!V22</f>
        <v>15746.104122429919</v>
      </c>
      <c r="Y22" s="29">
        <f>Y26/'Time Series Data Inputs'!W22</f>
        <v>14302.973808330991</v>
      </c>
      <c r="Z22" s="7"/>
      <c r="AA22" s="7"/>
      <c r="AB22" s="7"/>
      <c r="AC22" s="7"/>
      <c r="AD22" s="7"/>
      <c r="AE22" s="7"/>
      <c r="AF22" s="7"/>
      <c r="AG22" s="7"/>
    </row>
    <row r="23" spans="1:33" x14ac:dyDescent="0.25">
      <c r="A23" s="109" t="s">
        <v>232</v>
      </c>
      <c r="B23" t="s">
        <v>167</v>
      </c>
      <c r="E23" s="60"/>
      <c r="F23" s="29">
        <f>SUM($F$22:F22)</f>
        <v>0</v>
      </c>
      <c r="G23" s="29">
        <f>SUM($F$22:G22)</f>
        <v>700.48893747157194</v>
      </c>
      <c r="H23" s="29">
        <f>SUM($F$22:H22)</f>
        <v>1279.2546307531229</v>
      </c>
      <c r="I23" s="29">
        <f>SUM($F$22:I22)</f>
        <v>2337.6960380111896</v>
      </c>
      <c r="J23" s="29">
        <f>SUM($F$22:J22)</f>
        <v>3928.6442779478602</v>
      </c>
      <c r="K23" s="29">
        <f>SUM($F$22:K22)</f>
        <v>6286.539173017055</v>
      </c>
      <c r="L23" s="29">
        <f>SUM($F$22:L22)</f>
        <v>9634.0637817295465</v>
      </c>
      <c r="M23" s="29">
        <f>SUM($F$22:M22)</f>
        <v>13850.969939533672</v>
      </c>
      <c r="N23" s="29">
        <f>SUM($F$22:N22)</f>
        <v>19364.477569096274</v>
      </c>
      <c r="O23" s="29">
        <f>SUM($F$22:O22)</f>
        <v>25720.44067678077</v>
      </c>
      <c r="P23" s="29">
        <f>SUM($F$22:P22)</f>
        <v>33789.291368157647</v>
      </c>
      <c r="Q23" s="29">
        <f>SUM($F$22:Q22)</f>
        <v>43024.870380480585</v>
      </c>
      <c r="R23" s="29">
        <f>SUM($F$22:R22)</f>
        <v>52776.415749079672</v>
      </c>
      <c r="S23" s="29">
        <f>SUM($F$22:S22)</f>
        <v>64765.637901820293</v>
      </c>
      <c r="T23" s="29">
        <f>SUM($F$22:T22)</f>
        <v>78232.961177423553</v>
      </c>
      <c r="U23" s="29">
        <f>SUM($F$22:U22)</f>
        <v>98479.509960864918</v>
      </c>
      <c r="V23" s="29">
        <f>SUM($F$22:V22)</f>
        <v>115194.35147575474</v>
      </c>
      <c r="W23" s="29">
        <f>SUM($F$22:W22)</f>
        <v>132363.45179087776</v>
      </c>
      <c r="X23" s="29">
        <f>SUM($F$22:X22)</f>
        <v>148109.55591330767</v>
      </c>
      <c r="Y23" s="29">
        <f>SUM($F$22:Y22)</f>
        <v>162412.52972163865</v>
      </c>
      <c r="Z23" s="7"/>
      <c r="AA23" s="7"/>
      <c r="AB23" s="7"/>
      <c r="AC23" s="7"/>
      <c r="AD23" s="7"/>
      <c r="AE23" s="7"/>
      <c r="AF23" s="7"/>
      <c r="AG23" s="7"/>
    </row>
    <row r="24" spans="1:33" x14ac:dyDescent="0.25">
      <c r="A24" s="109" t="s">
        <v>38</v>
      </c>
      <c r="B24" t="s">
        <v>11</v>
      </c>
      <c r="E24" s="60"/>
      <c r="F24" s="29">
        <f>'Time Series Data Inputs'!D7*'Time Series Data Inputs'!D22</f>
        <v>1325.7349951992378</v>
      </c>
      <c r="G24" s="29">
        <f>'Time Series Data Inputs'!E7*'Time Series Data Inputs'!E22</f>
        <v>2114.5415513028724</v>
      </c>
      <c r="H24" s="29">
        <f>'Time Series Data Inputs'!F7*'Time Series Data Inputs'!F22</f>
        <v>3801.2813890470011</v>
      </c>
      <c r="I24" s="29">
        <f>'Time Series Data Inputs'!G7*'Time Series Data Inputs'!G22</f>
        <v>6738.7946988743079</v>
      </c>
      <c r="J24" s="29">
        <f>'Time Series Data Inputs'!H7*'Time Series Data Inputs'!H22</f>
        <v>10932.956150045575</v>
      </c>
      <c r="K24" s="29">
        <f>'Time Series Data Inputs'!I7*'Time Series Data Inputs'!I22</f>
        <v>16903.085375744511</v>
      </c>
      <c r="L24" s="29">
        <f>'Time Series Data Inputs'!J7*'Time Series Data Inputs'!J22</f>
        <v>25146.187337836</v>
      </c>
      <c r="M24" s="29">
        <f>'Time Series Data Inputs'!K7*'Time Series Data Inputs'!K22</f>
        <v>35090.310342791883</v>
      </c>
      <c r="N24" s="29">
        <f>'Time Series Data Inputs'!L7*'Time Series Data Inputs'!L22</f>
        <v>47708.682897766841</v>
      </c>
      <c r="O24" s="29">
        <f>'Time Series Data Inputs'!M7*'Time Series Data Inputs'!M22</f>
        <v>61592.254219380397</v>
      </c>
      <c r="P24" s="29">
        <f>'Time Series Data Inputs'!N7*'Time Series Data Inputs'!N22</f>
        <v>78936.848290235168</v>
      </c>
      <c r="Q24" s="29">
        <f>'Time Series Data Inputs'!O7*'Time Series Data Inputs'!O22</f>
        <v>98468.349281086543</v>
      </c>
      <c r="R24" s="29">
        <f>'Time Series Data Inputs'!P7*'Time Series Data Inputs'!P22</f>
        <v>118413.02310736083</v>
      </c>
      <c r="S24" s="29">
        <f>'Time Series Data Inputs'!Q7*'Time Series Data Inputs'!Q22</f>
        <v>142517.59116896981</v>
      </c>
      <c r="T24" s="29">
        <f>'Time Series Data Inputs'!R7*'Time Series Data Inputs'!R22</f>
        <v>169125.73764370539</v>
      </c>
      <c r="U24" s="29">
        <f>'Time Series Data Inputs'!S7*'Time Series Data Inputs'!S22</f>
        <v>208424.13682992489</v>
      </c>
      <c r="V24" s="29">
        <f>'Time Series Data Inputs'!T7*'Time Series Data Inputs'!T22</f>
        <v>239705.38144099625</v>
      </c>
      <c r="W24" s="29">
        <f>'Time Series Data Inputs'!U7*'Time Series Data Inputs'!U22</f>
        <v>271239.89527155552</v>
      </c>
      <c r="X24" s="29">
        <f>'Time Series Data Inputs'!V7*'Time Series Data Inputs'!V22</f>
        <v>299613.39792574191</v>
      </c>
      <c r="Y24" s="29">
        <f>'Time Series Data Inputs'!W7*'Time Series Data Inputs'!W22</f>
        <v>324889.24594025227</v>
      </c>
      <c r="Z24" s="7"/>
      <c r="AA24" s="7"/>
      <c r="AB24" s="7"/>
      <c r="AC24" s="7"/>
      <c r="AD24" s="7"/>
      <c r="AE24" s="7"/>
      <c r="AF24" s="7"/>
      <c r="AG24" s="7"/>
    </row>
    <row r="25" spans="1:33" x14ac:dyDescent="0.25">
      <c r="A25" s="109" t="s">
        <v>306</v>
      </c>
      <c r="B25" t="s">
        <v>11</v>
      </c>
      <c r="E25" s="60"/>
      <c r="F25" s="29">
        <f>IF(F5&gt;=Initiative8_Year_when_Option_1_Flexible_Charging_for_Residential_Evs_available,'Time Series Data Inputs'!D22*'Time Series Data Inputs'!D7*(1-Initiative8_Percentage_of_Evs_charging_at_peak_with_Option_1_Flexible_Grid_Control),F65)</f>
        <v>1325.7349951992378</v>
      </c>
      <c r="G25" s="29">
        <f>IF(G5&gt;=Initiative8_Year_when_Option_1_Flexible_Charging_for_Residential_Evs_available,'Time Series Data Inputs'!E22*'Time Series Data Inputs'!E7*(1-Initiative8_Percentage_of_Evs_charging_at_peak_with_Option_1_Flexible_Grid_Control),G65)</f>
        <v>1480.1790859120106</v>
      </c>
      <c r="H25" s="29">
        <f>IF(H5&gt;=Initiative8_Year_when_Option_1_Flexible_Charging_for_Residential_Evs_available,'Time Series Data Inputs'!F22*'Time Series Data Inputs'!F7*(1-Initiative8_Percentage_of_Evs_charging_at_peak_with_Option_1_Flexible_Grid_Control),H65)</f>
        <v>2660.8969723329005</v>
      </c>
      <c r="I25" s="29">
        <f>IF(I5&gt;=Initiative8_Year_when_Option_1_Flexible_Charging_for_Residential_Evs_available,'Time Series Data Inputs'!G22*'Time Series Data Inputs'!G7*(1-Initiative8_Percentage_of_Evs_charging_at_peak_with_Option_1_Flexible_Grid_Control),I65)</f>
        <v>4717.1562892120155</v>
      </c>
      <c r="J25" s="29">
        <f>IF(J5&gt;=Initiative8_Year_when_Option_1_Flexible_Charging_for_Residential_Evs_available,'Time Series Data Inputs'!H22*'Time Series Data Inputs'!H7*(1-Initiative8_Percentage_of_Evs_charging_at_peak_with_Option_1_Flexible_Grid_Control),J65)</f>
        <v>7653.0693050319014</v>
      </c>
      <c r="K25" s="29">
        <f>IF(K5&gt;=Initiative8_Year_when_Option_1_Flexible_Charging_for_Residential_Evs_available,'Time Series Data Inputs'!I22*'Time Series Data Inputs'!I7*(1-Initiative8_Percentage_of_Evs_charging_at_peak_with_Option_1_Flexible_Grid_Control),K65)</f>
        <v>11832.159763021156</v>
      </c>
      <c r="L25" s="29">
        <f>IF(L5&gt;=Initiative8_Year_when_Option_1_Flexible_Charging_for_Residential_Evs_available,'Time Series Data Inputs'!J22*'Time Series Data Inputs'!J7*(1-Initiative8_Percentage_of_Evs_charging_at_peak_with_Option_1_Flexible_Grid_Control),L65)</f>
        <v>17602.331136485198</v>
      </c>
      <c r="M25" s="29">
        <f>IF(M5&gt;=Initiative8_Year_when_Option_1_Flexible_Charging_for_Residential_Evs_available,'Time Series Data Inputs'!K22*'Time Series Data Inputs'!K7*(1-Initiative8_Percentage_of_Evs_charging_at_peak_with_Option_1_Flexible_Grid_Control),M65)</f>
        <v>24563.217239954316</v>
      </c>
      <c r="N25" s="29">
        <f>IF(N5&gt;=Initiative8_Year_when_Option_1_Flexible_Charging_for_Residential_Evs_available,'Time Series Data Inputs'!L22*'Time Series Data Inputs'!L7*(1-Initiative8_Percentage_of_Evs_charging_at_peak_with_Option_1_Flexible_Grid_Control),N65)</f>
        <v>33396.078028436787</v>
      </c>
      <c r="O25" s="29">
        <f>IF(O5&gt;=Initiative8_Year_when_Option_1_Flexible_Charging_for_Residential_Evs_available,'Time Series Data Inputs'!M22*'Time Series Data Inputs'!M7*(1-Initiative8_Percentage_of_Evs_charging_at_peak_with_Option_1_Flexible_Grid_Control),O65)</f>
        <v>43114.577953566273</v>
      </c>
      <c r="P25" s="29">
        <f>IF(P5&gt;=Initiative8_Year_when_Option_1_Flexible_Charging_for_Residential_Evs_available,'Time Series Data Inputs'!N22*'Time Series Data Inputs'!N7*(1-Initiative8_Percentage_of_Evs_charging_at_peak_with_Option_1_Flexible_Grid_Control),P65)</f>
        <v>55255.793803164612</v>
      </c>
      <c r="Q25" s="29">
        <f>IF(Q5&gt;=Initiative8_Year_when_Option_1_Flexible_Charging_for_Residential_Evs_available,'Time Series Data Inputs'!O22*'Time Series Data Inputs'!O7*(1-Initiative8_Percentage_of_Evs_charging_at_peak_with_Option_1_Flexible_Grid_Control),Q65)</f>
        <v>68927.844496760576</v>
      </c>
      <c r="R25" s="29">
        <f>IF(R5&gt;=Initiative8_Year_when_Option_1_Flexible_Charging_for_Residential_Evs_available,'Time Series Data Inputs'!P22*'Time Series Data Inputs'!P7*(1-Initiative8_Percentage_of_Evs_charging_at_peak_with_Option_1_Flexible_Grid_Control),R65)</f>
        <v>82889.11617515258</v>
      </c>
      <c r="S25" s="29">
        <f>IF(S5&gt;=Initiative8_Year_when_Option_1_Flexible_Charging_for_Residential_Evs_available,'Time Series Data Inputs'!Q22*'Time Series Data Inputs'!Q7*(1-Initiative8_Percentage_of_Evs_charging_at_peak_with_Option_1_Flexible_Grid_Control),S65)</f>
        <v>99762.313818278868</v>
      </c>
      <c r="T25" s="29">
        <f>IF(T5&gt;=Initiative8_Year_when_Option_1_Flexible_Charging_for_Residential_Evs_available,'Time Series Data Inputs'!R22*'Time Series Data Inputs'!R7*(1-Initiative8_Percentage_of_Evs_charging_at_peak_with_Option_1_Flexible_Grid_Control),T65)</f>
        <v>118388.01635059377</v>
      </c>
      <c r="U25" s="29">
        <f>IF(U5&gt;=Initiative8_Year_when_Option_1_Flexible_Charging_for_Residential_Evs_available,'Time Series Data Inputs'!S22*'Time Series Data Inputs'!S7*(1-Initiative8_Percentage_of_Evs_charging_at_peak_with_Option_1_Flexible_Grid_Control),U65)</f>
        <v>145896.89578094741</v>
      </c>
      <c r="V25" s="29">
        <f>IF(V5&gt;=Initiative8_Year_when_Option_1_Flexible_Charging_for_Residential_Evs_available,'Time Series Data Inputs'!T22*'Time Series Data Inputs'!T7*(1-Initiative8_Percentage_of_Evs_charging_at_peak_with_Option_1_Flexible_Grid_Control),V65)</f>
        <v>167793.76700869735</v>
      </c>
      <c r="W25" s="29">
        <f>IF(W5&gt;=Initiative8_Year_when_Option_1_Flexible_Charging_for_Residential_Evs_available,'Time Series Data Inputs'!U22*'Time Series Data Inputs'!U7*(1-Initiative8_Percentage_of_Evs_charging_at_peak_with_Option_1_Flexible_Grid_Control),W65)</f>
        <v>189867.92669008885</v>
      </c>
      <c r="X25" s="29">
        <f>IF(X5&gt;=Initiative8_Year_when_Option_1_Flexible_Charging_for_Residential_Evs_available,'Time Series Data Inputs'!V22*'Time Series Data Inputs'!V7*(1-Initiative8_Percentage_of_Evs_charging_at_peak_with_Option_1_Flexible_Grid_Control),X65)</f>
        <v>209729.37854801933</v>
      </c>
      <c r="Y25" s="29">
        <f>IF(Y5&gt;=Initiative8_Year_when_Option_1_Flexible_Charging_for_Residential_Evs_available,'Time Series Data Inputs'!W22*'Time Series Data Inputs'!W7*(1-Initiative8_Percentage_of_Evs_charging_at_peak_with_Option_1_Flexible_Grid_Control),Y65)</f>
        <v>227422.47215817656</v>
      </c>
      <c r="Z25" s="7"/>
      <c r="AA25" s="7"/>
      <c r="AB25" s="7"/>
      <c r="AC25" s="7"/>
      <c r="AD25" s="7"/>
      <c r="AE25" s="7"/>
      <c r="AF25" s="7"/>
      <c r="AG25" s="7"/>
    </row>
    <row r="26" spans="1:33" ht="15.75" x14ac:dyDescent="0.25">
      <c r="A26" s="109" t="s">
        <v>187</v>
      </c>
      <c r="B26" t="s">
        <v>57</v>
      </c>
      <c r="C26" s="4"/>
      <c r="D26" s="4"/>
      <c r="E26" s="60"/>
      <c r="F26" s="29">
        <f>'Time Series Data Inputs'!D26</f>
        <v>0</v>
      </c>
      <c r="G26" s="29">
        <f>'Time Series Data Inputs'!E26</f>
        <v>634.36246539086187</v>
      </c>
      <c r="H26" s="29">
        <f>'Time Series Data Inputs'!F26</f>
        <v>506.02195132323868</v>
      </c>
      <c r="I26" s="29">
        <f>'Time Series Data Inputs'!G26</f>
        <v>881.25399294819181</v>
      </c>
      <c r="J26" s="29">
        <f>'Time Series Data Inputs'!H26</f>
        <v>1258.248435351381</v>
      </c>
      <c r="K26" s="29">
        <f>'Time Series Data Inputs'!I26</f>
        <v>1791.0387677096815</v>
      </c>
      <c r="L26" s="29">
        <f>'Time Series Data Inputs'!J26</f>
        <v>2472.9305886274469</v>
      </c>
      <c r="M26" s="29">
        <f>'Time Series Data Inputs'!K26</f>
        <v>2983.2369014867654</v>
      </c>
      <c r="N26" s="29">
        <f>'Time Series Data Inputs'!L26</f>
        <v>3785.5117664924874</v>
      </c>
      <c r="O26" s="29">
        <f>'Time Series Data Inputs'!M26</f>
        <v>4165.0713964840688</v>
      </c>
      <c r="P26" s="29">
        <f>'Time Series Data Inputs'!N26</f>
        <v>5203.3782212564329</v>
      </c>
      <c r="Q26" s="29">
        <f>'Time Series Data Inputs'!O26</f>
        <v>5859.450297255411</v>
      </c>
      <c r="R26" s="29">
        <f>'Time Series Data Inputs'!P26</f>
        <v>5983.4021478822833</v>
      </c>
      <c r="S26" s="29">
        <f>'Time Series Data Inputs'!Q26</f>
        <v>7231.3704184826929</v>
      </c>
      <c r="T26" s="29">
        <f>'Time Series Data Inputs'!R26</f>
        <v>7982.4439424206794</v>
      </c>
      <c r="U26" s="29">
        <f>'Time Series Data Inputs'!S26</f>
        <v>11789.519755865855</v>
      </c>
      <c r="V26" s="29">
        <f>'Time Series Data Inputs'!T26</f>
        <v>9384.373383321421</v>
      </c>
      <c r="W26" s="29">
        <f>'Time Series Data Inputs'!U26</f>
        <v>9460.3541491677752</v>
      </c>
      <c r="X26" s="29">
        <f>'Time Series Data Inputs'!V26</f>
        <v>8512.0507962559059</v>
      </c>
      <c r="Y26" s="29">
        <f>'Time Series Data Inputs'!W26</f>
        <v>7582.7544043531234</v>
      </c>
    </row>
    <row r="27" spans="1:33" ht="15.75" x14ac:dyDescent="0.25">
      <c r="A27" s="156" t="s">
        <v>186</v>
      </c>
      <c r="B27" s="91" t="s">
        <v>7</v>
      </c>
      <c r="C27" s="202" t="s">
        <v>9</v>
      </c>
      <c r="D27" s="202">
        <f t="shared" ref="D27" si="7">SUMPRODUCT(F27:Y27,F$6:Y$6)</f>
        <v>46.06177549055225</v>
      </c>
      <c r="E27" s="204">
        <f>SUM(F27:Y27)</f>
        <v>66.921341679268735</v>
      </c>
      <c r="F27" s="205">
        <f>IF(F4&lt;MAX('Platform Cost Inputs'!$H$15:$H$20),0,IF(F5&gt;=Initiative8_Year_when_Option_1_Flexible_Charging_for_Residential_Evs_available,(F26*'Benefit Input Pars'!$B$14)/Million,0))</f>
        <v>0</v>
      </c>
      <c r="G27" s="205">
        <f>IF(G4&lt;MAX('Platform Cost Inputs'!$H$15:$H$20),0,IF(G5&gt;=Initiative8_Year_when_Option_1_Flexible_Charging_for_Residential_Evs_available,(G26*'Benefit Input Pars'!$B$14)/Million,0))</f>
        <v>0</v>
      </c>
      <c r="H27" s="205">
        <f>IF(H4&lt;MAX('Platform Cost Inputs'!$H$15:$H$20),0,IF(H5&gt;=Initiative8_Year_when_Option_1_Flexible_Charging_for_Residential_Evs_available,(H26*'Benefit Input Pars'!$B$14)/Million,0))</f>
        <v>0</v>
      </c>
      <c r="I27" s="205">
        <f>IF(I4&lt;MAX('Platform Cost Inputs'!$H$15:$H$20),0,IF(I5&gt;=Initiative8_Year_when_Option_1_Flexible_Charging_for_Residential_Evs_available,(I26*'Benefit Input Pars'!$B$14)/Million,0))</f>
        <v>0.61223824495920309</v>
      </c>
      <c r="J27" s="205">
        <f>IF(J4&lt;MAX('Platform Cost Inputs'!$H$15:$H$20),0,IF(J5&gt;=Initiative8_Year_when_Option_1_Flexible_Charging_for_Residential_Evs_available,(J26*'Benefit Input Pars'!$B$14)/Million,0))</f>
        <v>0.87414958677807753</v>
      </c>
      <c r="K27" s="205">
        <f>IF(K4&lt;MAX('Platform Cost Inputs'!$H$15:$H$20),0,IF(K5&gt;=Initiative8_Year_when_Option_1_Flexible_Charging_for_Residential_Evs_available,(K26*'Benefit Input Pars'!$B$14)/Million,0))</f>
        <v>1.2442978307854704</v>
      </c>
      <c r="L27" s="205">
        <f>IF(L4&lt;MAX('Platform Cost Inputs'!$H$15:$H$20),0,IF(L5&gt;=Initiative8_Year_when_Option_1_Flexible_Charging_for_Residential_Evs_available,(L26*'Benefit Input Pars'!$B$14)/Million,0))</f>
        <v>1.7180321401121925</v>
      </c>
      <c r="M27" s="205">
        <f>IF(M4&lt;MAX('Platform Cost Inputs'!$H$15:$H$20),0,IF(M5&gt;=Initiative8_Year_when_Option_1_Flexible_Charging_for_Residential_Evs_available,(M26*'Benefit Input Pars'!$B$14)/Million,0))</f>
        <v>2.0725599423992214</v>
      </c>
      <c r="N27" s="205">
        <f>IF(N4&lt;MAX('Platform Cost Inputs'!$H$15:$H$20),0,IF(N5&gt;=Initiative8_Year_when_Option_1_Flexible_Charging_for_Residential_Evs_available,(N26*'Benefit Input Pars'!$B$14)/Million,0))</f>
        <v>2.6299286003076583</v>
      </c>
      <c r="O27" s="205">
        <f>IF(O4&lt;MAX('Platform Cost Inputs'!$H$15:$H$20),0,IF(O5&gt;=Initiative8_Year_when_Option_1_Flexible_Charging_for_Residential_Evs_available,(O26*'Benefit Input Pars'!$B$14)/Million,0))</f>
        <v>2.8936220684597758</v>
      </c>
      <c r="P27" s="205">
        <f>IF(P4&lt;MAX('Platform Cost Inputs'!$H$15:$H$20),0,IF(P5&gt;=Initiative8_Year_when_Option_1_Flexible_Charging_for_Residential_Evs_available,(P26*'Benefit Input Pars'!$B$14)/Million,0))</f>
        <v>3.6149704574765695</v>
      </c>
      <c r="Q27" s="205">
        <f>IF(Q4&lt;MAX('Platform Cost Inputs'!$H$15:$H$20),0,IF(Q5&gt;=Initiative8_Year_when_Option_1_Flexible_Charging_for_Residential_Evs_available,(Q26*'Benefit Input Pars'!$B$14)/Million,0))</f>
        <v>4.0707668789288913</v>
      </c>
      <c r="R27" s="205">
        <f>IF(R4&lt;MAX('Platform Cost Inputs'!$H$15:$H$20),0,IF(R5&gt;=Initiative8_Year_when_Option_1_Flexible_Charging_for_Residential_Evs_available,(R26*'Benefit Input Pars'!$B$14)/Million,0))</f>
        <v>4.1568806033426231</v>
      </c>
      <c r="S27" s="205">
        <f>IF(S4&lt;MAX('Platform Cost Inputs'!$H$15:$H$20),0,IF(S5&gt;=Initiative8_Year_when_Option_1_Flexible_Charging_for_Residential_Evs_available,(S26*'Benefit Input Pars'!$B$14)/Million,0))</f>
        <v>5.0238881969207947</v>
      </c>
      <c r="T27" s="205">
        <f>IF(T4&lt;MAX('Platform Cost Inputs'!$H$15:$H$20),0,IF(T5&gt;=Initiative8_Year_when_Option_1_Flexible_Charging_for_Residential_Evs_available,(T26*'Benefit Input Pars'!$B$14)/Million,0))</f>
        <v>5.5456854764914185</v>
      </c>
      <c r="U27" s="205">
        <f>IF(U4&lt;MAX('Platform Cost Inputs'!$H$15:$H$20),0,IF(U5&gt;=Initiative8_Year_when_Option_1_Flexible_Charging_for_Residential_Evs_available,(U26*'Benefit Input Pars'!$B$14)/Million,0))</f>
        <v>8.1905953811292438</v>
      </c>
      <c r="V27" s="205">
        <f>IF(V4&lt;MAX('Platform Cost Inputs'!$H$15:$H$20),0,IF(V5&gt;=Initiative8_Year_when_Option_1_Flexible_Charging_for_Residential_Evs_available,(V26*'Benefit Input Pars'!$B$14)/Million,0))</f>
        <v>6.5196553277737452</v>
      </c>
      <c r="W27" s="205">
        <f>IF(W4&lt;MAX('Platform Cost Inputs'!$H$15:$H$20),0,IF(W5&gt;=Initiative8_Year_when_Option_1_Flexible_Charging_for_Residential_Evs_available,(W26*'Benefit Input Pars'!$B$14)/Million,0))</f>
        <v>6.5724418468756935</v>
      </c>
      <c r="X27" s="205">
        <f>IF(X4&lt;MAX('Platform Cost Inputs'!$H$15:$H$20),0,IF(X5&gt;=Initiative8_Year_when_Option_1_Flexible_Charging_for_Residential_Evs_available,(X26*'Benefit Input Pars'!$B$14)/Million,0))</f>
        <v>5.9136220456361395</v>
      </c>
      <c r="Y27" s="205">
        <f>IF(Y4&lt;MAX('Platform Cost Inputs'!$H$15:$H$20),0,IF(Y5&gt;=Initiative8_Year_when_Option_1_Flexible_Charging_for_Residential_Evs_available,(Y26*'Benefit Input Pars'!$B$14)/Million,0))</f>
        <v>5.268007050892022</v>
      </c>
    </row>
    <row r="28" spans="1:33" x14ac:dyDescent="0.25">
      <c r="A28" s="109" t="s">
        <v>198</v>
      </c>
      <c r="E28" s="60"/>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row>
    <row r="29" spans="1:33" ht="18" customHeight="1" x14ac:dyDescent="0.25">
      <c r="A29" s="109"/>
      <c r="E29" s="60"/>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row>
    <row r="30" spans="1:33" x14ac:dyDescent="0.25">
      <c r="A30" s="200" t="str">
        <f>'Benefit Input Pars'!A61</f>
        <v>Benefit Category 4 - Customer Load Monitoring and Optimisation</v>
      </c>
      <c r="E30" s="60"/>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row>
    <row r="31" spans="1:33" x14ac:dyDescent="0.25">
      <c r="A31" s="109" t="s">
        <v>142</v>
      </c>
      <c r="B31" t="s">
        <v>147</v>
      </c>
      <c r="E31" s="60"/>
      <c r="F31" s="29">
        <f>IF(F5&gt;=Initiative9_Year_when_Option_1_Customer_Load_Monitoring_and_Optimisation_Available,Initiative9_Annual_Number_of_Customers_per_year_that_have_load_control_devices_fitted,0)</f>
        <v>0</v>
      </c>
      <c r="G31" s="29">
        <f>IF(G5&gt;=Initiative9_Year_when_Option_1_Customer_Load_Monitoring_and_Optimisation_Available,Initiative9_Annual_Number_of_Customers_per_year_that_have_load_control_devices_fitted,0)+SUM($F$31:F31)*'Benefit Input Pars'!$B$63</f>
        <v>2500</v>
      </c>
      <c r="H31" s="29">
        <f>IF(H5&gt;=Initiative9_Year_when_Option_1_Customer_Load_Monitoring_and_Optimisation_Available,Initiative9_Annual_Number_of_Customers_per_year_that_have_load_control_devices_fitted,0)+SUM($F$31:G31)*'Benefit Input Pars'!$B$63</f>
        <v>2750</v>
      </c>
      <c r="I31" s="29">
        <f>IF(I5&gt;=Initiative9_Year_when_Option_1_Customer_Load_Monitoring_and_Optimisation_Available,Initiative9_Annual_Number_of_Customers_per_year_that_have_load_control_devices_fitted,0)+SUM($F$31:H31)*'Benefit Input Pars'!$B$63</f>
        <v>3025</v>
      </c>
      <c r="J31" s="29">
        <f>IF(J5&gt;=Initiative9_Year_when_Option_1_Customer_Load_Monitoring_and_Optimisation_Available,Initiative9_Annual_Number_of_Customers_per_year_that_have_load_control_devices_fitted,0)+SUM($F$31:I31)*'Benefit Input Pars'!$B$63</f>
        <v>3327.5</v>
      </c>
      <c r="K31" s="29">
        <f>IF(K5&gt;=Initiative9_Year_when_Option_1_Customer_Load_Monitoring_and_Optimisation_Available,Initiative9_Annual_Number_of_Customers_per_year_that_have_load_control_devices_fitted,0)+SUM($F$31:J31)*'Benefit Input Pars'!$B$63</f>
        <v>3660.25</v>
      </c>
      <c r="L31" s="29">
        <f>IF(L5&gt;=Initiative9_Year_when_Option_1_Customer_Load_Monitoring_and_Optimisation_Available,Initiative9_Annual_Number_of_Customers_per_year_that_have_load_control_devices_fitted,0)+SUM($F$31:K31)*'Benefit Input Pars'!$B$63</f>
        <v>4026.2750000000001</v>
      </c>
      <c r="M31" s="29">
        <f>IF(M5&gt;=Initiative9_Year_when_Option_1_Customer_Load_Monitoring_and_Optimisation_Available,Initiative9_Annual_Number_of_Customers_per_year_that_have_load_control_devices_fitted,0)+SUM($F$31:L31)*'Benefit Input Pars'!$B$63</f>
        <v>4428.9025000000001</v>
      </c>
      <c r="N31" s="29">
        <f>IF(N5&gt;=Initiative9_Year_when_Option_1_Customer_Load_Monitoring_and_Optimisation_Available,Initiative9_Annual_Number_of_Customers_per_year_that_have_load_control_devices_fitted,0)+SUM($F$31:M31)*'Benefit Input Pars'!$B$63</f>
        <v>4871.7927500000005</v>
      </c>
      <c r="O31" s="29">
        <f>IF(O5&gt;=Initiative9_Year_when_Option_1_Customer_Load_Monitoring_and_Optimisation_Available,Initiative9_Annual_Number_of_Customers_per_year_that_have_load_control_devices_fitted,0)+SUM($F$31:N31)*'Benefit Input Pars'!$B$63</f>
        <v>5358.9720250000009</v>
      </c>
      <c r="P31" s="29">
        <f>IF(P5&gt;=Initiative9_Year_when_Option_1_Customer_Load_Monitoring_and_Optimisation_Available,Initiative9_Annual_Number_of_Customers_per_year_that_have_load_control_devices_fitted,0)+SUM($F$31:O31)*'Benefit Input Pars'!$B$63</f>
        <v>5894.8692275000003</v>
      </c>
      <c r="Q31" s="29">
        <f>IF(Q5&gt;=Initiative9_Year_when_Option_1_Customer_Load_Monitoring_and_Optimisation_Available,Initiative9_Annual_Number_of_Customers_per_year_that_have_load_control_devices_fitted,0)+SUM($F$31:P31)*'Benefit Input Pars'!$B$63</f>
        <v>6484.3561502499997</v>
      </c>
      <c r="R31" s="29">
        <f>IF(R5&gt;=Initiative9_Year_when_Option_1_Customer_Load_Monitoring_and_Optimisation_Available,Initiative9_Annual_Number_of_Customers_per_year_that_have_load_control_devices_fitted,0)+SUM($F$31:Q31)*'Benefit Input Pars'!$B$63</f>
        <v>7132.7917652750002</v>
      </c>
      <c r="S31" s="29">
        <f>IF(S5&gt;=Initiative9_Year_when_Option_1_Customer_Load_Monitoring_and_Optimisation_Available,Initiative9_Annual_Number_of_Customers_per_year_that_have_load_control_devices_fitted,0)+SUM($F$31:R31)*'Benefit Input Pars'!$B$63</f>
        <v>7846.0709418024999</v>
      </c>
      <c r="T31" s="29">
        <f>IF(T5&gt;=Initiative9_Year_when_Option_1_Customer_Load_Monitoring_and_Optimisation_Available,Initiative9_Annual_Number_of_Customers_per_year_that_have_load_control_devices_fitted,0)+SUM($F$31:S31)*'Benefit Input Pars'!$B$63</f>
        <v>8630.6780359827499</v>
      </c>
      <c r="U31" s="29">
        <f>IF(U5&gt;=Initiative9_Year_when_Option_1_Customer_Load_Monitoring_and_Optimisation_Available,Initiative9_Annual_Number_of_Customers_per_year_that_have_load_control_devices_fitted,0)+SUM($F$31:T31)*'Benefit Input Pars'!$B$63</f>
        <v>9493.7458395810245</v>
      </c>
      <c r="V31" s="29">
        <f>IF(V5&gt;=Initiative9_Year_when_Option_1_Customer_Load_Monitoring_and_Optimisation_Available,Initiative9_Annual_Number_of_Customers_per_year_that_have_load_control_devices_fitted,0)+SUM($F$31:U31)*'Benefit Input Pars'!$B$63</f>
        <v>10443.120423539127</v>
      </c>
      <c r="W31" s="29">
        <f>IF(W5&gt;=Initiative9_Year_when_Option_1_Customer_Load_Monitoring_and_Optimisation_Available,Initiative9_Annual_Number_of_Customers_per_year_that_have_load_control_devices_fitted,0)+SUM($F$31:V31)*'Benefit Input Pars'!$B$63</f>
        <v>11487.43246589304</v>
      </c>
      <c r="X31" s="29">
        <f>IF(X5&gt;=Initiative9_Year_when_Option_1_Customer_Load_Monitoring_and_Optimisation_Available,Initiative9_Annual_Number_of_Customers_per_year_that_have_load_control_devices_fitted,0)+SUM($F$31:W31)*'Benefit Input Pars'!$B$63</f>
        <v>12636.175712482343</v>
      </c>
      <c r="Y31" s="29">
        <f>IF(Y5&gt;=Initiative9_Year_when_Option_1_Customer_Load_Monitoring_and_Optimisation_Available,Initiative9_Annual_Number_of_Customers_per_year_that_have_load_control_devices_fitted,0)+SUM($F$31:X31)*'Benefit Input Pars'!$B$63</f>
        <v>13899.793283730578</v>
      </c>
      <c r="Z31" s="7"/>
      <c r="AA31" s="7"/>
      <c r="AB31" s="7"/>
      <c r="AC31" s="7"/>
      <c r="AD31" s="7"/>
      <c r="AE31" s="7"/>
      <c r="AF31" s="7"/>
      <c r="AG31" s="7"/>
    </row>
    <row r="32" spans="1:33" x14ac:dyDescent="0.25">
      <c r="A32" s="109" t="s">
        <v>143</v>
      </c>
      <c r="B32" t="s">
        <v>147</v>
      </c>
      <c r="E32" s="60"/>
      <c r="F32" s="29">
        <f>SUM($F$31:F31)</f>
        <v>0</v>
      </c>
      <c r="G32" s="29">
        <f>SUM($F$31:G31)</f>
        <v>2500</v>
      </c>
      <c r="H32" s="29">
        <f>SUM($F$31:H31)</f>
        <v>5250</v>
      </c>
      <c r="I32" s="29">
        <f>SUM($F$31:I31)</f>
        <v>8275</v>
      </c>
      <c r="J32" s="29">
        <f>SUM($F$31:J31)</f>
        <v>11602.5</v>
      </c>
      <c r="K32" s="29">
        <f>SUM($F$31:K31)</f>
        <v>15262.75</v>
      </c>
      <c r="L32" s="29">
        <f>SUM($F$31:L31)</f>
        <v>19289.025000000001</v>
      </c>
      <c r="M32" s="29">
        <f>SUM($F$31:M31)</f>
        <v>23717.927500000002</v>
      </c>
      <c r="N32" s="29">
        <f>SUM($F$31:N31)</f>
        <v>28589.720250000002</v>
      </c>
      <c r="O32" s="29">
        <f>SUM($F$31:O31)</f>
        <v>33948.692275000001</v>
      </c>
      <c r="P32" s="29">
        <f>SUM($F$31:P31)</f>
        <v>39843.561502500001</v>
      </c>
      <c r="Q32" s="29">
        <f>SUM($F$31:Q31)</f>
        <v>46327.917652750002</v>
      </c>
      <c r="R32" s="29">
        <f>SUM($F$31:R31)</f>
        <v>53460.709418024999</v>
      </c>
      <c r="S32" s="29">
        <f>SUM($F$31:S31)</f>
        <v>61306.780359827499</v>
      </c>
      <c r="T32" s="29">
        <f>SUM($F$31:T31)</f>
        <v>69937.458395810245</v>
      </c>
      <c r="U32" s="29">
        <f>SUM($F$31:U31)</f>
        <v>79431.204235391269</v>
      </c>
      <c r="V32" s="29">
        <f>SUM($F$31:V31)</f>
        <v>89874.324658930389</v>
      </c>
      <c r="W32" s="29">
        <f>SUM($F$31:W31)</f>
        <v>101361.75712482343</v>
      </c>
      <c r="X32" s="29">
        <f>SUM($F$31:X31)</f>
        <v>113997.93283730578</v>
      </c>
      <c r="Y32" s="29">
        <f>SUM($F$31:Y31)</f>
        <v>127897.72612103636</v>
      </c>
      <c r="Z32" s="7"/>
      <c r="AA32" s="7"/>
      <c r="AB32" s="7"/>
      <c r="AC32" s="7"/>
      <c r="AD32" s="7"/>
      <c r="AE32" s="7"/>
      <c r="AF32" s="7"/>
      <c r="AG32" s="7"/>
    </row>
    <row r="33" spans="1:33" x14ac:dyDescent="0.25">
      <c r="A33" s="109" t="s">
        <v>137</v>
      </c>
      <c r="B33" t="s">
        <v>61</v>
      </c>
      <c r="E33" s="60"/>
      <c r="F33" s="7">
        <f t="shared" ref="F33:Y33" si="8">F32*Initiative9_Average_kVA_saved_per_customer/1000</f>
        <v>0</v>
      </c>
      <c r="G33" s="7">
        <f t="shared" si="8"/>
        <v>2.5</v>
      </c>
      <c r="H33" s="7">
        <f t="shared" si="8"/>
        <v>5.25</v>
      </c>
      <c r="I33" s="7">
        <f t="shared" si="8"/>
        <v>8.2750000000000004</v>
      </c>
      <c r="J33" s="7">
        <f t="shared" si="8"/>
        <v>11.602499999999999</v>
      </c>
      <c r="K33" s="7">
        <f t="shared" si="8"/>
        <v>15.26275</v>
      </c>
      <c r="L33" s="7">
        <f t="shared" si="8"/>
        <v>19.289025000000002</v>
      </c>
      <c r="M33" s="7">
        <f t="shared" si="8"/>
        <v>23.717927500000002</v>
      </c>
      <c r="N33" s="7">
        <f t="shared" si="8"/>
        <v>28.589720250000003</v>
      </c>
      <c r="O33" s="7">
        <f t="shared" si="8"/>
        <v>33.948692274999999</v>
      </c>
      <c r="P33" s="7">
        <f t="shared" si="8"/>
        <v>39.843561502500002</v>
      </c>
      <c r="Q33" s="7">
        <f t="shared" si="8"/>
        <v>46.327917652750003</v>
      </c>
      <c r="R33" s="7">
        <f t="shared" si="8"/>
        <v>53.460709418024997</v>
      </c>
      <c r="S33" s="7">
        <f t="shared" si="8"/>
        <v>61.306780359827499</v>
      </c>
      <c r="T33" s="7">
        <f t="shared" si="8"/>
        <v>69.937458395810239</v>
      </c>
      <c r="U33" s="7">
        <f t="shared" si="8"/>
        <v>79.431204235391263</v>
      </c>
      <c r="V33" s="7">
        <f t="shared" si="8"/>
        <v>89.874324658930391</v>
      </c>
      <c r="W33" s="7">
        <f t="shared" si="8"/>
        <v>101.36175712482343</v>
      </c>
      <c r="X33" s="7">
        <f t="shared" si="8"/>
        <v>113.99793283730578</v>
      </c>
      <c r="Y33" s="7">
        <f t="shared" si="8"/>
        <v>127.89772612103637</v>
      </c>
      <c r="Z33" s="7"/>
      <c r="AA33" s="7"/>
      <c r="AB33" s="7"/>
      <c r="AC33" s="7"/>
      <c r="AD33" s="7"/>
      <c r="AE33" s="7"/>
      <c r="AF33" s="7"/>
      <c r="AG33" s="7"/>
    </row>
    <row r="34" spans="1:33" ht="15.75" x14ac:dyDescent="0.25">
      <c r="A34" s="109" t="s">
        <v>194</v>
      </c>
      <c r="B34" t="s">
        <v>61</v>
      </c>
      <c r="C34" s="4"/>
      <c r="D34" s="4"/>
      <c r="E34" s="60"/>
      <c r="F34" s="7">
        <f>'Time Series Data Inputs'!D38</f>
        <v>0</v>
      </c>
      <c r="G34" s="7">
        <f>'Time Series Data Inputs'!E38</f>
        <v>2.5</v>
      </c>
      <c r="H34" s="7">
        <f>'Time Series Data Inputs'!F38</f>
        <v>2.75</v>
      </c>
      <c r="I34" s="7">
        <f>'Time Series Data Inputs'!G38</f>
        <v>3.0250000000000004</v>
      </c>
      <c r="J34" s="7">
        <f>'Time Series Data Inputs'!H38</f>
        <v>3.3274999999999988</v>
      </c>
      <c r="K34" s="7">
        <f>'Time Series Data Inputs'!I38</f>
        <v>3.6602500000000013</v>
      </c>
      <c r="L34" s="7">
        <f>'Time Series Data Inputs'!J38</f>
        <v>4.0262750000000018</v>
      </c>
      <c r="M34" s="7">
        <f>'Time Series Data Inputs'!K38</f>
        <v>4.4289024999999995</v>
      </c>
      <c r="N34" s="7">
        <f>'Time Series Data Inputs'!L38</f>
        <v>4.8717927500000009</v>
      </c>
      <c r="O34" s="7">
        <f>'Time Series Data Inputs'!M38</f>
        <v>5.3589720249999964</v>
      </c>
      <c r="P34" s="7">
        <f>'Time Series Data Inputs'!N38</f>
        <v>5.8948692275000028</v>
      </c>
      <c r="Q34" s="7">
        <f>'Time Series Data Inputs'!O38</f>
        <v>6.4843561502500009</v>
      </c>
      <c r="R34" s="7">
        <f>'Time Series Data Inputs'!P38</f>
        <v>7.1327917652749946</v>
      </c>
      <c r="S34" s="7">
        <f>'Time Series Data Inputs'!Q38</f>
        <v>7.8460709418025019</v>
      </c>
      <c r="T34" s="7">
        <f>'Time Series Data Inputs'!R38</f>
        <v>8.63067803598274</v>
      </c>
      <c r="U34" s="7">
        <f>'Time Series Data Inputs'!S38</f>
        <v>9.4937458395810239</v>
      </c>
      <c r="V34" s="7">
        <f>'Time Series Data Inputs'!T38</f>
        <v>10.443120423539128</v>
      </c>
      <c r="W34" s="7">
        <f>'Time Series Data Inputs'!U38</f>
        <v>11.487432465893036</v>
      </c>
      <c r="X34" s="7">
        <f>'Time Series Data Inputs'!V38</f>
        <v>12.636175712482355</v>
      </c>
      <c r="Y34" s="7">
        <f>'Time Series Data Inputs'!W38</f>
        <v>13.899793283730588</v>
      </c>
      <c r="Z34" s="7"/>
      <c r="AA34" s="7"/>
      <c r="AB34" s="7"/>
      <c r="AC34" s="7"/>
      <c r="AD34" s="7"/>
      <c r="AE34" s="7"/>
      <c r="AF34" s="7"/>
      <c r="AG34" s="7"/>
    </row>
    <row r="35" spans="1:33" ht="15.75" x14ac:dyDescent="0.25">
      <c r="A35" s="109" t="s">
        <v>62</v>
      </c>
      <c r="B35" t="s">
        <v>7</v>
      </c>
      <c r="C35" s="3" t="s">
        <v>9</v>
      </c>
      <c r="D35" s="3">
        <f>SUMPRODUCT(F35:Y35,F$6:Y$6)</f>
        <v>59.238564869932368</v>
      </c>
      <c r="E35" s="59">
        <f>SUM(F35:Y35)</f>
        <v>85.207703101998618</v>
      </c>
      <c r="F35" s="7">
        <f>IF(F4&lt;MAX('Platform Cost Inputs'!$H$15:$H$20),0,IF(F5&gt;=Initiative9_Year_when_Option_1_Customer_Load_Monitoring_and_Optimisation_Available,(F34*'Benefit Input Pars'!$B$14*1000)/Million,0))</f>
        <v>0</v>
      </c>
      <c r="G35" s="7">
        <f>IF(G4&lt;MAX('Platform Cost Inputs'!$H$15:$H$20),0,IF(G5&gt;=Initiative9_Year_when_Option_1_Customer_Load_Monitoring_and_Optimisation_Available,(G34*'Benefit Input Pars'!$B$14*1000)/Million,0))</f>
        <v>0</v>
      </c>
      <c r="H35" s="7">
        <f>IF(H4&lt;MAX('Platform Cost Inputs'!$H$15:$H$20),0,IF(H5&gt;=Initiative9_Year_when_Option_1_Customer_Load_Monitoring_and_Optimisation_Available,(H34*'Benefit Input Pars'!$B$14*1000)/Million,0))</f>
        <v>0</v>
      </c>
      <c r="I35" s="7">
        <f>IF(I4&lt;MAX('Platform Cost Inputs'!$H$15:$H$20),0,IF(I5&gt;=Initiative9_Year_when_Option_1_Customer_Load_Monitoring_and_Optimisation_Available,(I34*'Benefit Input Pars'!$B$14*1000)/Million,0))</f>
        <v>2.1015742405952067</v>
      </c>
      <c r="J35" s="7">
        <f>IF(J4&lt;MAX('Platform Cost Inputs'!$H$15:$H$20),0,IF(J5&gt;=Initiative9_Year_when_Option_1_Customer_Load_Monitoring_and_Optimisation_Available,(J34*'Benefit Input Pars'!$B$14*1000)/Million,0))</f>
        <v>2.3117316646547259</v>
      </c>
      <c r="K35" s="7">
        <f>IF(K4&lt;MAX('Platform Cost Inputs'!$H$15:$H$20),0,IF(K5&gt;=Initiative9_Year_when_Option_1_Customer_Load_Monitoring_and_Optimisation_Available,(K34*'Benefit Input Pars'!$B$14*1000)/Million,0))</f>
        <v>2.5429048311201998</v>
      </c>
      <c r="L35" s="7">
        <f>IF(L4&lt;MAX('Platform Cost Inputs'!$H$15:$H$20),0,IF(L5&gt;=Initiative9_Year_when_Option_1_Customer_Load_Monitoring_and_Optimisation_Available,(L34*'Benefit Input Pars'!$B$14*1000)/Million,0))</f>
        <v>2.7971953142322206</v>
      </c>
      <c r="M35" s="7">
        <f>IF(M4&lt;MAX('Platform Cost Inputs'!$H$15:$H$20),0,IF(M5&gt;=Initiative9_Year_when_Option_1_Customer_Load_Monitoring_and_Optimisation_Available,(M34*'Benefit Input Pars'!$B$14*1000)/Million,0))</f>
        <v>3.0769148456554407</v>
      </c>
      <c r="N35" s="7">
        <f>IF(N4&lt;MAX('Platform Cost Inputs'!$H$15:$H$20),0,IF(N5&gt;=Initiative9_Year_when_Option_1_Customer_Load_Monitoring_and_Optimisation_Available,(N34*'Benefit Input Pars'!$B$14*1000)/Million,0))</f>
        <v>3.3846063302209859</v>
      </c>
      <c r="O35" s="7">
        <f>IF(O4&lt;MAX('Platform Cost Inputs'!$H$15:$H$20),0,IF(O5&gt;=Initiative9_Year_when_Option_1_Customer_Load_Monitoring_and_Optimisation_Available,(O34*'Benefit Input Pars'!$B$14*1000)/Million,0))</f>
        <v>3.7230669632430811</v>
      </c>
      <c r="P35" s="7">
        <f>IF(P4&lt;MAX('Platform Cost Inputs'!$H$15:$H$20),0,IF(P5&gt;=Initiative9_Year_when_Option_1_Customer_Load_Monitoring_and_Optimisation_Available,(P34*'Benefit Input Pars'!$B$14*1000)/Million,0))</f>
        <v>4.095373659567394</v>
      </c>
      <c r="Q35" s="7">
        <f>IF(Q4&lt;MAX('Platform Cost Inputs'!$H$15:$H$20),0,IF(Q5&gt;=Initiative9_Year_when_Option_1_Customer_Load_Monitoring_and_Optimisation_Available,(Q34*'Benefit Input Pars'!$B$14*1000)/Million,0))</f>
        <v>4.504911025524132</v>
      </c>
      <c r="R35" s="7">
        <f>IF(R4&lt;MAX('Platform Cost Inputs'!$H$15:$H$20),0,IF(R5&gt;=Initiative9_Year_when_Option_1_Customer_Load_Monitoring_and_Optimisation_Available,(R34*'Benefit Input Pars'!$B$14*1000)/Million,0))</f>
        <v>4.9554021280765417</v>
      </c>
      <c r="S35" s="7">
        <f>IF(S4&lt;MAX('Platform Cost Inputs'!$H$15:$H$20),0,IF(S5&gt;=Initiative9_Year_when_Option_1_Customer_Load_Monitoring_and_Optimisation_Available,(S34*'Benefit Input Pars'!$B$14*1000)/Million,0))</f>
        <v>5.4509423408842004</v>
      </c>
      <c r="T35" s="7">
        <f>IF(T4&lt;MAX('Platform Cost Inputs'!$H$15:$H$20),0,IF(T5&gt;=Initiative9_Year_when_Option_1_Customer_Load_Monitoring_and_Optimisation_Available,(T34*'Benefit Input Pars'!$B$14*1000)/Million,0))</f>
        <v>5.9960365749726119</v>
      </c>
      <c r="U35" s="7">
        <f>IF(U4&lt;MAX('Platform Cost Inputs'!$H$15:$H$20),0,IF(U5&gt;=Initiative9_Year_when_Option_1_Customer_Load_Monitoring_and_Optimisation_Available,(U34*'Benefit Input Pars'!$B$14*1000)/Million,0))</f>
        <v>6.5956402324698802</v>
      </c>
      <c r="V35" s="7">
        <f>IF(V4&lt;MAX('Platform Cost Inputs'!$H$15:$H$20),0,IF(V5&gt;=Initiative9_Year_when_Option_1_Customer_Load_Monitoring_and_Optimisation_Available,(V34*'Benefit Input Pars'!$B$14*1000)/Million,0))</f>
        <v>7.255204255716869</v>
      </c>
      <c r="W35" s="7">
        <f>IF(W4&lt;MAX('Platform Cost Inputs'!$H$15:$H$20),0,IF(W5&gt;=Initiative9_Year_when_Option_1_Customer_Load_Monitoring_and_Optimisation_Available,(W34*'Benefit Input Pars'!$B$14*1000)/Million,0))</f>
        <v>7.9807246812885531</v>
      </c>
      <c r="X35" s="7">
        <f>IF(X4&lt;MAX('Platform Cost Inputs'!$H$15:$H$20),0,IF(X5&gt;=Initiative9_Year_when_Option_1_Customer_Load_Monitoring_and_Optimisation_Available,(X34*'Benefit Input Pars'!$B$14*1000)/Million,0))</f>
        <v>8.7787971494174197</v>
      </c>
      <c r="Y35" s="7">
        <f>IF(Y4&lt;MAX('Platform Cost Inputs'!$H$15:$H$20),0,IF(Y5&gt;=Initiative9_Year_when_Option_1_Customer_Load_Monitoring_and_Optimisation_Available,(Y34*'Benefit Input Pars'!$B$14*1000)/Million,0))</f>
        <v>9.6566768643591594</v>
      </c>
      <c r="Z35" s="7"/>
      <c r="AA35" s="7"/>
      <c r="AB35" s="7"/>
      <c r="AC35" s="7"/>
      <c r="AD35" s="7"/>
      <c r="AE35" s="7"/>
      <c r="AF35" s="7"/>
      <c r="AG35" s="7"/>
    </row>
    <row r="36" spans="1:33" x14ac:dyDescent="0.25">
      <c r="A36" s="109" t="s">
        <v>144</v>
      </c>
      <c r="B36" t="s">
        <v>147</v>
      </c>
      <c r="E36" s="60"/>
      <c r="F36" s="29">
        <f t="shared" ref="F36:Y36" si="9">IF(F5=Initiative9_Year_when_Hot_Water_and_Solar_load_control_program_begins,Initiative9_Initial_number_of_solar_customers_that_are_export_constrained_where_VPN_use_Flexible_Grid_to_control_chargin,0)+IF(F5&gt;Initiative9_Year_when_Hot_Water_and_Solar_load_control_program_begins, IInitiative9_Increase_in_number_of_solar_customers_that_are_export_constrained_where_VPN_use_Flexible_Grid_to_control_chargin,0)</f>
        <v>0</v>
      </c>
      <c r="G36" s="29">
        <f t="shared" si="9"/>
        <v>2500</v>
      </c>
      <c r="H36" s="29">
        <f t="shared" si="9"/>
        <v>1000</v>
      </c>
      <c r="I36" s="29">
        <f t="shared" si="9"/>
        <v>1000</v>
      </c>
      <c r="J36" s="29">
        <f t="shared" si="9"/>
        <v>1000</v>
      </c>
      <c r="K36" s="29">
        <f t="shared" si="9"/>
        <v>1000</v>
      </c>
      <c r="L36" s="29">
        <f t="shared" si="9"/>
        <v>1000</v>
      </c>
      <c r="M36" s="29">
        <f t="shared" si="9"/>
        <v>1000</v>
      </c>
      <c r="N36" s="29">
        <f t="shared" si="9"/>
        <v>1000</v>
      </c>
      <c r="O36" s="29">
        <f t="shared" si="9"/>
        <v>1000</v>
      </c>
      <c r="P36" s="29">
        <f t="shared" si="9"/>
        <v>1000</v>
      </c>
      <c r="Q36" s="29">
        <f t="shared" si="9"/>
        <v>1000</v>
      </c>
      <c r="R36" s="29">
        <f t="shared" si="9"/>
        <v>1000</v>
      </c>
      <c r="S36" s="29">
        <f t="shared" si="9"/>
        <v>1000</v>
      </c>
      <c r="T36" s="29">
        <f t="shared" si="9"/>
        <v>1000</v>
      </c>
      <c r="U36" s="29">
        <f t="shared" si="9"/>
        <v>1000</v>
      </c>
      <c r="V36" s="29">
        <f t="shared" si="9"/>
        <v>1000</v>
      </c>
      <c r="W36" s="29">
        <f t="shared" si="9"/>
        <v>1000</v>
      </c>
      <c r="X36" s="29">
        <f t="shared" si="9"/>
        <v>1000</v>
      </c>
      <c r="Y36" s="29">
        <f t="shared" si="9"/>
        <v>1000</v>
      </c>
      <c r="Z36" s="7"/>
      <c r="AA36" s="7"/>
      <c r="AB36" s="7"/>
      <c r="AC36" s="7"/>
      <c r="AD36" s="7"/>
      <c r="AE36" s="7"/>
      <c r="AF36" s="7"/>
      <c r="AG36" s="7"/>
    </row>
    <row r="37" spans="1:33" x14ac:dyDescent="0.25">
      <c r="A37" s="109" t="s">
        <v>145</v>
      </c>
      <c r="B37" t="s">
        <v>147</v>
      </c>
      <c r="E37" s="60"/>
      <c r="F37" s="29">
        <f>SUM($F$36:F36)</f>
        <v>0</v>
      </c>
      <c r="G37" s="29">
        <f>SUM($F$36:G36)</f>
        <v>2500</v>
      </c>
      <c r="H37" s="29">
        <f>SUM($F$36:H36)</f>
        <v>3500</v>
      </c>
      <c r="I37" s="29">
        <f>SUM($F$36:I36)</f>
        <v>4500</v>
      </c>
      <c r="J37" s="29">
        <f>SUM($F$36:J36)</f>
        <v>5500</v>
      </c>
      <c r="K37" s="29">
        <f>SUM($F$36:K36)</f>
        <v>6500</v>
      </c>
      <c r="L37" s="29">
        <f>SUM($F$36:L36)</f>
        <v>7500</v>
      </c>
      <c r="M37" s="29">
        <f>SUM($F$36:M36)</f>
        <v>8500</v>
      </c>
      <c r="N37" s="29">
        <f>SUM($F$36:N36)</f>
        <v>9500</v>
      </c>
      <c r="O37" s="29">
        <f>SUM($F$36:O36)</f>
        <v>10500</v>
      </c>
      <c r="P37" s="29">
        <f>SUM($F$36:P36)</f>
        <v>11500</v>
      </c>
      <c r="Q37" s="29">
        <f>SUM($F$36:Q36)</f>
        <v>12500</v>
      </c>
      <c r="R37" s="29">
        <f>SUM($F$36:R36)</f>
        <v>13500</v>
      </c>
      <c r="S37" s="29">
        <f>SUM($F$36:S36)</f>
        <v>14500</v>
      </c>
      <c r="T37" s="29">
        <f>SUM($F$36:T36)</f>
        <v>15500</v>
      </c>
      <c r="U37" s="29">
        <f>SUM($F$36:U36)</f>
        <v>16500</v>
      </c>
      <c r="V37" s="29">
        <f>SUM($F$36:V36)</f>
        <v>17500</v>
      </c>
      <c r="W37" s="29">
        <f>SUM($F$36:W36)</f>
        <v>18500</v>
      </c>
      <c r="X37" s="29">
        <f>SUM($F$36:X36)</f>
        <v>19500</v>
      </c>
      <c r="Y37" s="29">
        <f>SUM($F$36:Y36)</f>
        <v>20500</v>
      </c>
      <c r="Z37" s="7"/>
      <c r="AA37" s="7"/>
      <c r="AB37" s="7"/>
      <c r="AC37" s="7"/>
      <c r="AD37" s="7"/>
      <c r="AE37" s="7"/>
      <c r="AF37" s="7"/>
      <c r="AG37" s="7"/>
    </row>
    <row r="38" spans="1:33" x14ac:dyDescent="0.25">
      <c r="A38" s="109" t="s">
        <v>140</v>
      </c>
      <c r="B38" t="s">
        <v>146</v>
      </c>
      <c r="E38" s="60"/>
      <c r="F38" s="29">
        <f t="shared" ref="F38:Y38" si="10">F37*Initiative9_Average_annual_kWh_now_useful</f>
        <v>0</v>
      </c>
      <c r="G38" s="29">
        <f t="shared" si="10"/>
        <v>3037500</v>
      </c>
      <c r="H38" s="29">
        <f t="shared" si="10"/>
        <v>4252500</v>
      </c>
      <c r="I38" s="29">
        <f t="shared" si="10"/>
        <v>5467500</v>
      </c>
      <c r="J38" s="29">
        <f t="shared" si="10"/>
        <v>6682500</v>
      </c>
      <c r="K38" s="29">
        <f t="shared" si="10"/>
        <v>7897500</v>
      </c>
      <c r="L38" s="29">
        <f t="shared" si="10"/>
        <v>9112500</v>
      </c>
      <c r="M38" s="29">
        <f t="shared" si="10"/>
        <v>10327500</v>
      </c>
      <c r="N38" s="29">
        <f t="shared" si="10"/>
        <v>11542500</v>
      </c>
      <c r="O38" s="29">
        <f t="shared" si="10"/>
        <v>12757500</v>
      </c>
      <c r="P38" s="29">
        <f t="shared" si="10"/>
        <v>13972500</v>
      </c>
      <c r="Q38" s="29">
        <f t="shared" si="10"/>
        <v>15187500</v>
      </c>
      <c r="R38" s="29">
        <f t="shared" si="10"/>
        <v>16402500</v>
      </c>
      <c r="S38" s="29">
        <f t="shared" si="10"/>
        <v>17617500</v>
      </c>
      <c r="T38" s="29">
        <f t="shared" si="10"/>
        <v>18832500</v>
      </c>
      <c r="U38" s="29">
        <f t="shared" si="10"/>
        <v>20047500</v>
      </c>
      <c r="V38" s="29">
        <f t="shared" si="10"/>
        <v>21262500</v>
      </c>
      <c r="W38" s="29">
        <f t="shared" si="10"/>
        <v>22477500</v>
      </c>
      <c r="X38" s="29">
        <f t="shared" si="10"/>
        <v>23692500</v>
      </c>
      <c r="Y38" s="29">
        <f t="shared" si="10"/>
        <v>24907500</v>
      </c>
      <c r="Z38" s="7"/>
      <c r="AA38" s="7"/>
      <c r="AB38" s="7"/>
      <c r="AC38" s="7"/>
      <c r="AD38" s="7"/>
      <c r="AE38" s="7"/>
      <c r="AF38" s="7"/>
      <c r="AG38" s="7"/>
    </row>
    <row r="39" spans="1:33" ht="15.75" x14ac:dyDescent="0.25">
      <c r="A39" s="156" t="s">
        <v>141</v>
      </c>
      <c r="B39" s="91" t="s">
        <v>7</v>
      </c>
      <c r="C39" s="202" t="s">
        <v>9</v>
      </c>
      <c r="D39" s="202">
        <f>SUMPRODUCT(F39:Y39,F$6:Y$6)</f>
        <v>19.884673520549704</v>
      </c>
      <c r="E39" s="204">
        <f>SUM(F39:Y39)</f>
        <v>28.400624999999998</v>
      </c>
      <c r="F39" s="205">
        <f>IF(F4&lt;MAX('Platform Cost Inputs'!$H$15:$H$20),0,IF(F5&gt;=Initiative9_Year_when_Hot_Water_and_Solar_load_control_program_begins,F38*Initiative9_Avoided_wholesale_cost_of_KWh/100/Million,0))</f>
        <v>0</v>
      </c>
      <c r="G39" s="205">
        <f>IF(G4&lt;MAX('Platform Cost Inputs'!$H$15:$H$20),0,IF(G5&gt;=Initiative9_Year_when_Hot_Water_and_Solar_load_control_program_begins,G38*Initiative9_Avoided_wholesale_cost_of_KWh/100/Million,0))</f>
        <v>0</v>
      </c>
      <c r="H39" s="205">
        <f>IF(H4&lt;MAX('Platform Cost Inputs'!$H$15:$H$20),0,IF(H5&gt;=Initiative9_Year_when_Hot_Water_and_Solar_load_control_program_begins,H38*Initiative9_Avoided_wholesale_cost_of_KWh/100/Million,0))</f>
        <v>0</v>
      </c>
      <c r="I39" s="205">
        <f>IF(I4&lt;MAX('Platform Cost Inputs'!$H$15:$H$20),0,IF(I5&gt;=Initiative9_Year_when_Hot_Water_and_Solar_load_control_program_begins,I38*Initiative9_Avoided_wholesale_cost_of_KWh/100/Million,0))</f>
        <v>0.60142499999999999</v>
      </c>
      <c r="J39" s="205">
        <f>IF(J4&lt;MAX('Platform Cost Inputs'!$H$15:$H$20),0,IF(J5&gt;=Initiative9_Year_when_Hot_Water_and_Solar_load_control_program_begins,J38*Initiative9_Avoided_wholesale_cost_of_KWh/100/Million,0))</f>
        <v>0.73507500000000003</v>
      </c>
      <c r="K39" s="205">
        <f>IF(K4&lt;MAX('Platform Cost Inputs'!$H$15:$H$20),0,IF(K5&gt;=Initiative9_Year_when_Hot_Water_and_Solar_load_control_program_begins,K38*Initiative9_Avoided_wholesale_cost_of_KWh/100/Million,0))</f>
        <v>0.86872499999999997</v>
      </c>
      <c r="L39" s="205">
        <f>IF(L4&lt;MAX('Platform Cost Inputs'!$H$15:$H$20),0,IF(L5&gt;=Initiative9_Year_when_Hot_Water_and_Solar_load_control_program_begins,L38*Initiative9_Avoided_wholesale_cost_of_KWh/100/Million,0))</f>
        <v>1.002375</v>
      </c>
      <c r="M39" s="205">
        <f>IF(M4&lt;MAX('Platform Cost Inputs'!$H$15:$H$20),0,IF(M5&gt;=Initiative9_Year_when_Hot_Water_and_Solar_load_control_program_begins,M38*Initiative9_Avoided_wholesale_cost_of_KWh/100/Million,0))</f>
        <v>1.1360250000000001</v>
      </c>
      <c r="N39" s="205">
        <f>IF(N4&lt;MAX('Platform Cost Inputs'!$H$15:$H$20),0,IF(N5&gt;=Initiative9_Year_when_Hot_Water_and_Solar_load_control_program_begins,N38*Initiative9_Avoided_wholesale_cost_of_KWh/100/Million,0))</f>
        <v>1.2696750000000001</v>
      </c>
      <c r="O39" s="205">
        <f>IF(O4&lt;MAX('Platform Cost Inputs'!$H$15:$H$20),0,IF(O5&gt;=Initiative9_Year_when_Hot_Water_and_Solar_load_control_program_begins,O38*Initiative9_Avoided_wholesale_cost_of_KWh/100/Million,0))</f>
        <v>1.4033249999999999</v>
      </c>
      <c r="P39" s="205">
        <f>IF(P4&lt;MAX('Platform Cost Inputs'!$H$15:$H$20),0,IF(P5&gt;=Initiative9_Year_when_Hot_Water_and_Solar_load_control_program_begins,P38*Initiative9_Avoided_wholesale_cost_of_KWh/100/Million,0))</f>
        <v>1.536975</v>
      </c>
      <c r="Q39" s="205">
        <f>IF(Q4&lt;MAX('Platform Cost Inputs'!$H$15:$H$20),0,IF(Q5&gt;=Initiative9_Year_when_Hot_Water_and_Solar_load_control_program_begins,Q38*Initiative9_Avoided_wholesale_cost_of_KWh/100/Million,0))</f>
        <v>1.670625</v>
      </c>
      <c r="R39" s="205">
        <f>IF(R4&lt;MAX('Platform Cost Inputs'!$H$15:$H$20),0,IF(R5&gt;=Initiative9_Year_when_Hot_Water_and_Solar_load_control_program_begins,R38*Initiative9_Avoided_wholesale_cost_of_KWh/100/Million,0))</f>
        <v>1.8042750000000001</v>
      </c>
      <c r="S39" s="205">
        <f>IF(S4&lt;MAX('Platform Cost Inputs'!$H$15:$H$20),0,IF(S5&gt;=Initiative9_Year_when_Hot_Water_and_Solar_load_control_program_begins,S38*Initiative9_Avoided_wholesale_cost_of_KWh/100/Million,0))</f>
        <v>1.9379249999999999</v>
      </c>
      <c r="T39" s="205">
        <f>IF(T4&lt;MAX('Platform Cost Inputs'!$H$15:$H$20),0,IF(T5&gt;=Initiative9_Year_when_Hot_Water_and_Solar_load_control_program_begins,T38*Initiative9_Avoided_wholesale_cost_of_KWh/100/Million,0))</f>
        <v>2.0715750000000002</v>
      </c>
      <c r="U39" s="205">
        <f>IF(U4&lt;MAX('Platform Cost Inputs'!$H$15:$H$20),0,IF(U5&gt;=Initiative9_Year_when_Hot_Water_and_Solar_load_control_program_begins,U38*Initiative9_Avoided_wholesale_cost_of_KWh/100/Million,0))</f>
        <v>2.205225</v>
      </c>
      <c r="V39" s="205">
        <f>IF(V4&lt;MAX('Platform Cost Inputs'!$H$15:$H$20),0,IF(V5&gt;=Initiative9_Year_when_Hot_Water_and_Solar_load_control_program_begins,V38*Initiative9_Avoided_wholesale_cost_of_KWh/100/Million,0))</f>
        <v>2.3388749999999998</v>
      </c>
      <c r="W39" s="205">
        <f>IF(W4&lt;MAX('Platform Cost Inputs'!$H$15:$H$20),0,IF(W5&gt;=Initiative9_Year_when_Hot_Water_and_Solar_load_control_program_begins,W38*Initiative9_Avoided_wholesale_cost_of_KWh/100/Million,0))</f>
        <v>2.4725250000000001</v>
      </c>
      <c r="X39" s="205">
        <f>IF(X4&lt;MAX('Platform Cost Inputs'!$H$15:$H$20),0,IF(X5&gt;=Initiative9_Year_when_Hot_Water_and_Solar_load_control_program_begins,X38*Initiative9_Avoided_wholesale_cost_of_KWh/100/Million,0))</f>
        <v>2.6061749999999999</v>
      </c>
      <c r="Y39" s="205">
        <f>IF(Y4&lt;MAX('Platform Cost Inputs'!$H$15:$H$20),0,IF(Y5&gt;=Initiative9_Year_when_Hot_Water_and_Solar_load_control_program_begins,Y38*Initiative9_Avoided_wholesale_cost_of_KWh/100/Million,0))</f>
        <v>2.7398250000000002</v>
      </c>
      <c r="Z39" s="7"/>
      <c r="AA39" s="7"/>
      <c r="AB39" s="7"/>
      <c r="AC39" s="7"/>
      <c r="AD39" s="7"/>
      <c r="AE39" s="7"/>
      <c r="AF39" s="7"/>
      <c r="AG39" s="7"/>
    </row>
    <row r="40" spans="1:33" s="51" customFormat="1" ht="15.75" x14ac:dyDescent="0.25">
      <c r="A40" s="109"/>
      <c r="C40" s="4"/>
      <c r="D40" s="4"/>
      <c r="E40" s="60"/>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row>
    <row r="41" spans="1:33" ht="15.75" x14ac:dyDescent="0.25">
      <c r="A41" s="201" t="s">
        <v>261</v>
      </c>
      <c r="C41" s="3" t="s">
        <v>9</v>
      </c>
      <c r="D41" s="3">
        <f>SUMPRODUCT(F41:Y41,F$6:Y$6)</f>
        <v>139.41430112672782</v>
      </c>
      <c r="E41" s="59">
        <f>SUM(F41:Y41)</f>
        <v>197.27121478126736</v>
      </c>
      <c r="F41" s="80">
        <f t="shared" ref="F41:Y41" si="11">IF(F5&lt;=Project_Assessment_Period,SUM(F15,F19,F27,F35,F39),0)</f>
        <v>0</v>
      </c>
      <c r="G41" s="80">
        <f t="shared" si="11"/>
        <v>0.24955499999999997</v>
      </c>
      <c r="H41" s="7">
        <f t="shared" si="11"/>
        <v>0.24955499999999997</v>
      </c>
      <c r="I41" s="7">
        <f t="shared" si="11"/>
        <v>7.5647924855544089</v>
      </c>
      <c r="J41" s="7">
        <f t="shared" si="11"/>
        <v>8.1705112514328029</v>
      </c>
      <c r="K41" s="7">
        <f t="shared" si="11"/>
        <v>8.9054826619056691</v>
      </c>
      <c r="L41" s="7">
        <f t="shared" si="11"/>
        <v>5.7671574543444128</v>
      </c>
      <c r="M41" s="7">
        <f t="shared" si="11"/>
        <v>6.5350547880546621</v>
      </c>
      <c r="N41" s="7">
        <f t="shared" si="11"/>
        <v>7.5337649305286449</v>
      </c>
      <c r="O41" s="7">
        <f t="shared" si="11"/>
        <v>8.2695690317028578</v>
      </c>
      <c r="P41" s="7">
        <f t="shared" si="11"/>
        <v>9.4968741170439639</v>
      </c>
      <c r="Q41" s="7">
        <f t="shared" si="11"/>
        <v>10.495857904453024</v>
      </c>
      <c r="R41" s="7">
        <f t="shared" si="11"/>
        <v>11.166112731419165</v>
      </c>
      <c r="S41" s="7">
        <f t="shared" si="11"/>
        <v>12.662310537804995</v>
      </c>
      <c r="T41" s="7">
        <f t="shared" si="11"/>
        <v>13.862852051464031</v>
      </c>
      <c r="U41" s="7">
        <f t="shared" si="11"/>
        <v>17.241015613599121</v>
      </c>
      <c r="V41" s="7">
        <f t="shared" si="11"/>
        <v>16.363289583490612</v>
      </c>
      <c r="W41" s="7">
        <f t="shared" si="11"/>
        <v>17.275246528164246</v>
      </c>
      <c r="X41" s="7">
        <f t="shared" si="11"/>
        <v>17.548149195053558</v>
      </c>
      <c r="Y41" s="7">
        <f t="shared" si="11"/>
        <v>17.91406391525118</v>
      </c>
      <c r="Z41" s="7"/>
      <c r="AA41" s="7"/>
      <c r="AB41" s="7"/>
      <c r="AC41" s="7"/>
      <c r="AD41" s="7"/>
      <c r="AE41" s="7"/>
      <c r="AF41" s="7"/>
      <c r="AG41" s="7"/>
    </row>
    <row r="42" spans="1:33" s="51" customFormat="1" ht="15.75" x14ac:dyDescent="0.25">
      <c r="A42" s="201" t="s">
        <v>264</v>
      </c>
      <c r="C42" s="4"/>
      <c r="D42" s="4"/>
      <c r="E42" s="59"/>
      <c r="F42" s="80">
        <f ca="1">F41-'Cost Calcs'!G63</f>
        <v>-6.7182313333333337</v>
      </c>
      <c r="G42" s="80">
        <f ca="1">G41-'Cost Calcs'!H63</f>
        <v>-7.3825273333333339</v>
      </c>
      <c r="H42" s="7">
        <f ca="1">H41-'Cost Calcs'!I63</f>
        <v>-5.3513043333333332</v>
      </c>
      <c r="I42" s="7">
        <f ca="1">I41-'Cost Calcs'!J63</f>
        <v>4.135812191840964</v>
      </c>
      <c r="J42" s="7">
        <f ca="1">J41-'Cost Calcs'!K63</f>
        <v>4.1149131419866576</v>
      </c>
      <c r="K42" s="7">
        <f ca="1">K41-'Cost Calcs'!L63</f>
        <v>6.2779897701754983</v>
      </c>
      <c r="L42" s="7">
        <f ca="1">L41-'Cost Calcs'!M63</f>
        <v>3.0559265665271171</v>
      </c>
      <c r="M42" s="7">
        <f ca="1">M41-'Cost Calcs'!N63</f>
        <v>0.36825014699265868</v>
      </c>
      <c r="N42" s="7">
        <f ca="1">N41-'Cost Calcs'!O63</f>
        <v>0.94618178567101552</v>
      </c>
      <c r="O42" s="7">
        <f ca="1">O41-'Cost Calcs'!P63</f>
        <v>3.1084480355183839</v>
      </c>
      <c r="P42" s="7">
        <f ca="1">P41-'Cost Calcs'!Q63</f>
        <v>5.7341189216707207</v>
      </c>
      <c r="Q42" s="7">
        <f ca="1">Q41-'Cost Calcs'!R63</f>
        <v>6.3131866907873837</v>
      </c>
      <c r="R42" s="7">
        <f ca="1">R41-'Cost Calcs'!S63</f>
        <v>7.6217414797481187</v>
      </c>
      <c r="S42" s="7">
        <f ca="1">S41-'Cost Calcs'!T63</f>
        <v>8.9095863551885159</v>
      </c>
      <c r="T42" s="7">
        <f ca="1">T41-'Cost Calcs'!U63</f>
        <v>6.5200321890650272</v>
      </c>
      <c r="U42" s="7">
        <f ca="1">U41-'Cost Calcs'!V63</f>
        <v>9.2838673049698919</v>
      </c>
      <c r="V42" s="7">
        <f ca="1">V41-'Cost Calcs'!W63</f>
        <v>9.6781731554770953</v>
      </c>
      <c r="W42" s="7">
        <f ca="1">W41-'Cost Calcs'!X63</f>
        <v>11.841567772340568</v>
      </c>
      <c r="X42" s="7">
        <f ca="1">X41-'Cost Calcs'!Y63</f>
        <v>11.567930974214089</v>
      </c>
      <c r="Y42" s="7">
        <f ca="1">Y41-'Cost Calcs'!Z63</f>
        <v>12.45896135682443</v>
      </c>
      <c r="Z42" s="7"/>
      <c r="AA42" s="7"/>
      <c r="AB42" s="7"/>
      <c r="AC42" s="7"/>
      <c r="AD42" s="7"/>
      <c r="AE42" s="7"/>
      <c r="AF42" s="7"/>
      <c r="AG42" s="7"/>
    </row>
    <row r="43" spans="1:33" s="51" customFormat="1" ht="15.75" x14ac:dyDescent="0.25">
      <c r="A43" s="201" t="s">
        <v>265</v>
      </c>
      <c r="C43" s="4"/>
      <c r="D43" s="79"/>
      <c r="E43" s="59"/>
      <c r="F43" s="7">
        <f ca="1">F42</f>
        <v>-6.7182313333333337</v>
      </c>
      <c r="G43" s="7">
        <f ca="1">G42+F43</f>
        <v>-14.100758666666668</v>
      </c>
      <c r="H43" s="7">
        <f t="shared" ref="H43:Y43" ca="1" si="12">H42+G43</f>
        <v>-19.452063000000003</v>
      </c>
      <c r="I43" s="7">
        <f t="shared" ca="1" si="12"/>
        <v>-15.316250808159038</v>
      </c>
      <c r="J43" s="7">
        <f t="shared" ca="1" si="12"/>
        <v>-11.201337666172382</v>
      </c>
      <c r="K43" s="7">
        <f t="shared" ca="1" si="12"/>
        <v>-4.9233478959968835</v>
      </c>
      <c r="L43" s="7">
        <f t="shared" ca="1" si="12"/>
        <v>-1.8674213294697664</v>
      </c>
      <c r="M43" s="7">
        <f t="shared" ca="1" si="12"/>
        <v>-1.4991711824771077</v>
      </c>
      <c r="N43" s="7">
        <f t="shared" ca="1" si="12"/>
        <v>-0.55298939680609216</v>
      </c>
      <c r="O43" s="7">
        <f t="shared" ca="1" si="12"/>
        <v>2.5554586387122917</v>
      </c>
      <c r="P43" s="7">
        <f t="shared" ca="1" si="12"/>
        <v>8.2895775603830124</v>
      </c>
      <c r="Q43" s="7">
        <f t="shared" ca="1" si="12"/>
        <v>14.602764251170395</v>
      </c>
      <c r="R43" s="7">
        <f t="shared" ca="1" si="12"/>
        <v>22.224505730918516</v>
      </c>
      <c r="S43" s="7">
        <f t="shared" ca="1" si="12"/>
        <v>31.134092086107032</v>
      </c>
      <c r="T43" s="7">
        <f t="shared" ca="1" si="12"/>
        <v>37.654124275172059</v>
      </c>
      <c r="U43" s="7">
        <f t="shared" ca="1" si="12"/>
        <v>46.937991580141954</v>
      </c>
      <c r="V43" s="7">
        <f t="shared" ca="1" si="12"/>
        <v>56.616164735619051</v>
      </c>
      <c r="W43" s="7">
        <f t="shared" ca="1" si="12"/>
        <v>68.457732507959619</v>
      </c>
      <c r="X43" s="7">
        <f t="shared" ca="1" si="12"/>
        <v>80.025663482173712</v>
      </c>
      <c r="Y43" s="7">
        <f t="shared" ca="1" si="12"/>
        <v>92.484624838998144</v>
      </c>
      <c r="Z43" s="7"/>
      <c r="AA43" s="7"/>
      <c r="AB43" s="7"/>
      <c r="AC43" s="7"/>
      <c r="AD43" s="7"/>
      <c r="AE43" s="7"/>
      <c r="AF43" s="7"/>
      <c r="AG43" s="7"/>
    </row>
    <row r="44" spans="1:33" s="56" customFormat="1" ht="15.75" x14ac:dyDescent="0.25">
      <c r="A44" s="201" t="s">
        <v>415</v>
      </c>
      <c r="C44" s="4"/>
      <c r="D44" s="4"/>
      <c r="E44" s="59"/>
      <c r="F44" s="80">
        <f ca="1">F41+'Cost Calcs'!G65</f>
        <v>-6.7182313333333337</v>
      </c>
      <c r="G44" s="80">
        <f ca="1">G41+'Cost Calcs'!H65+F44</f>
        <v>-13.800758666666667</v>
      </c>
      <c r="H44" s="7">
        <f ca="1">H41+'Cost Calcs'!I65+G44</f>
        <v>-17.776063000000001</v>
      </c>
      <c r="I44" s="7">
        <f ca="1">I41+'Cost Calcs'!J65+H44</f>
        <v>-11.340123847778925</v>
      </c>
      <c r="J44" s="7">
        <f ca="1">J41+'Cost Calcs'!K65+I44</f>
        <v>-4.8038992630127879</v>
      </c>
      <c r="K44" s="7">
        <f ca="1">K41+'Cost Calcs'!L65+J44</f>
        <v>4.1015833988928811</v>
      </c>
      <c r="L44" s="7">
        <f ca="1">L41+'Cost Calcs'!M65+K44</f>
        <v>9.8687408532372949</v>
      </c>
      <c r="M44" s="7">
        <f ca="1">M41+'Cost Calcs'!N65+L44</f>
        <v>13.044679974625289</v>
      </c>
      <c r="N44" s="7">
        <f ca="1">N41+'Cost Calcs'!O65+M44</f>
        <v>16.912403738487267</v>
      </c>
      <c r="O44" s="7">
        <f ca="1">O41+'Cost Calcs'!P65+N44</f>
        <v>23.069543103523458</v>
      </c>
      <c r="P44" s="7">
        <f ca="1">P41+'Cost Calcs'!Q65+O44</f>
        <v>32.001990553900754</v>
      </c>
      <c r="Q44" s="7">
        <f ca="1">Q41+'Cost Calcs'!R65+P44</f>
        <v>41.680705125020445</v>
      </c>
      <c r="R44" s="7">
        <f ca="1">R41+'Cost Calcs'!S65+Q44</f>
        <v>52.846817856439614</v>
      </c>
      <c r="S44" s="7">
        <f ca="1">S41+'Cost Calcs'!T65+R44</f>
        <v>65.509128394244613</v>
      </c>
      <c r="T44" s="7">
        <f ca="1">T41+'Cost Calcs'!U65+S44</f>
        <v>76.012864779041976</v>
      </c>
      <c r="U44" s="7">
        <f ca="1">U41+'Cost Calcs'!V65+T44</f>
        <v>89.587839225974434</v>
      </c>
      <c r="V44" s="7">
        <f ca="1">V41+'Cost Calcs'!W65+U44</f>
        <v>103.83869914279838</v>
      </c>
      <c r="W44" s="7">
        <f ca="1">W41+'Cost Calcs'!X65+V44</f>
        <v>120.54951900429596</v>
      </c>
      <c r="X44" s="7">
        <f ca="1">X41+'Cost Calcs'!Y65+W44</f>
        <v>137.28052486601618</v>
      </c>
      <c r="Y44" s="7">
        <f ca="1">Y41+'Cost Calcs'!Z65+X44</f>
        <v>155.19458878126736</v>
      </c>
      <c r="Z44" s="7"/>
      <c r="AA44" s="7"/>
      <c r="AB44" s="7"/>
      <c r="AC44" s="7"/>
      <c r="AD44" s="7"/>
      <c r="AE44" s="7"/>
      <c r="AF44" s="7"/>
      <c r="AG44" s="7"/>
    </row>
    <row r="45" spans="1:33" s="56" customFormat="1" ht="15.75" x14ac:dyDescent="0.25">
      <c r="A45" s="201" t="s">
        <v>418</v>
      </c>
      <c r="C45" s="4"/>
      <c r="D45" s="4"/>
      <c r="E45" s="59"/>
      <c r="F45" s="7">
        <f ca="1">F41-'Cost Calcs'!G63+SUM('Cost Calcs'!G37,'Cost Calcs'!G61)</f>
        <v>-6.7182313333333337</v>
      </c>
      <c r="G45" s="7">
        <f ca="1">G41-'Cost Calcs'!H63+SUM('Cost Calcs'!H37,'Cost Calcs'!H61)</f>
        <v>-7.0825273333333341</v>
      </c>
      <c r="H45" s="7">
        <f ca="1">H41-'Cost Calcs'!I63+SUM('Cost Calcs'!I37,'Cost Calcs'!I61)</f>
        <v>-3.9753043333333329</v>
      </c>
      <c r="I45" s="7">
        <f ca="1">I41-'Cost Calcs'!J63+SUM('Cost Calcs'!J37,'Cost Calcs'!J61)</f>
        <v>6.435939152221076</v>
      </c>
      <c r="J45" s="7">
        <f ca="1">J41-'Cost Calcs'!K63+SUM('Cost Calcs'!K37,'Cost Calcs'!K61)</f>
        <v>6.5362245847661367</v>
      </c>
      <c r="K45" s="7">
        <f ca="1">K41-'Cost Calcs'!L63+SUM('Cost Calcs'!L37,'Cost Calcs'!L61)</f>
        <v>8.9054826619056691</v>
      </c>
      <c r="L45" s="7">
        <f ca="1">L41-'Cost Calcs'!M63+SUM('Cost Calcs'!M37,'Cost Calcs'!M61)</f>
        <v>5.7671574543444128</v>
      </c>
      <c r="M45" s="7">
        <f ca="1">M41-'Cost Calcs'!N63+SUM('Cost Calcs'!N37,'Cost Calcs'!N61)</f>
        <v>3.1759391213879957</v>
      </c>
      <c r="N45" s="7">
        <f ca="1">N41-'Cost Calcs'!O63+SUM('Cost Calcs'!O37,'Cost Calcs'!O61)</f>
        <v>3.8677237638619784</v>
      </c>
      <c r="O45" s="7">
        <f ca="1">O41-'Cost Calcs'!P63+SUM('Cost Calcs'!P37,'Cost Calcs'!P61)</f>
        <v>6.1571393650361923</v>
      </c>
      <c r="P45" s="7">
        <f ca="1">P41-'Cost Calcs'!Q63+SUM('Cost Calcs'!Q37,'Cost Calcs'!Q61)</f>
        <v>8.9324474503772979</v>
      </c>
      <c r="Q45" s="7">
        <f ca="1">Q41-'Cost Calcs'!R63+SUM('Cost Calcs'!R37,'Cost Calcs'!R61)</f>
        <v>9.6787145711196896</v>
      </c>
      <c r="R45" s="7">
        <f ca="1">R41-'Cost Calcs'!S63+SUM('Cost Calcs'!S37,'Cost Calcs'!S61)</f>
        <v>11.166112731419165</v>
      </c>
      <c r="S45" s="7">
        <f ca="1">S41-'Cost Calcs'!T63+SUM('Cost Calcs'!T37,'Cost Calcs'!T61)</f>
        <v>12.662310537804995</v>
      </c>
      <c r="T45" s="7">
        <f ca="1">T41-'Cost Calcs'!U63+SUM('Cost Calcs'!U37,'Cost Calcs'!U61)</f>
        <v>10.503736384797365</v>
      </c>
      <c r="U45" s="7">
        <f ca="1">U41-'Cost Calcs'!V63+SUM('Cost Calcs'!V37,'Cost Calcs'!V61)</f>
        <v>13.574974446932455</v>
      </c>
      <c r="V45" s="7">
        <f ca="1">V41-'Cost Calcs'!W63+SUM('Cost Calcs'!W37,'Cost Calcs'!W61)</f>
        <v>14.250859916823947</v>
      </c>
      <c r="W45" s="7">
        <f ca="1">W41-'Cost Calcs'!X63+SUM('Cost Calcs'!X37,'Cost Calcs'!X61)</f>
        <v>16.71081986149758</v>
      </c>
      <c r="X45" s="7">
        <f ca="1">X41-'Cost Calcs'!Y63+SUM('Cost Calcs'!Y37,'Cost Calcs'!Y61)</f>
        <v>16.731005861720224</v>
      </c>
      <c r="Y45" s="7">
        <f ca="1">Y41-'Cost Calcs'!Z63+SUM('Cost Calcs'!Z37,'Cost Calcs'!Z61)</f>
        <v>17.91406391525118</v>
      </c>
      <c r="Z45" s="7"/>
      <c r="AA45" s="7"/>
      <c r="AB45" s="7"/>
      <c r="AC45" s="7"/>
      <c r="AD45" s="7"/>
      <c r="AE45" s="7"/>
      <c r="AF45" s="7"/>
      <c r="AG45" s="7"/>
    </row>
    <row r="46" spans="1:33" s="56" customFormat="1" ht="15.75" x14ac:dyDescent="0.25">
      <c r="A46" s="207" t="s">
        <v>369</v>
      </c>
      <c r="B46" s="91" t="s">
        <v>61</v>
      </c>
      <c r="C46" s="202"/>
      <c r="D46" s="202"/>
      <c r="E46" s="204"/>
      <c r="F46" s="205">
        <f t="shared" ref="F46:Y46" si="13">F26/1000+F34</f>
        <v>0</v>
      </c>
      <c r="G46" s="205">
        <f t="shared" si="13"/>
        <v>3.1343624653908617</v>
      </c>
      <c r="H46" s="205">
        <f t="shared" si="13"/>
        <v>3.2560219513232385</v>
      </c>
      <c r="I46" s="205">
        <f t="shared" si="13"/>
        <v>3.9062539929481921</v>
      </c>
      <c r="J46" s="205">
        <f t="shared" si="13"/>
        <v>4.5857484353513795</v>
      </c>
      <c r="K46" s="205">
        <f t="shared" si="13"/>
        <v>5.4512887677096824</v>
      </c>
      <c r="L46" s="205">
        <f t="shared" si="13"/>
        <v>6.4992055886274489</v>
      </c>
      <c r="M46" s="205">
        <f t="shared" si="13"/>
        <v>7.4121394014867654</v>
      </c>
      <c r="N46" s="205">
        <f t="shared" si="13"/>
        <v>8.6573045164924878</v>
      </c>
      <c r="O46" s="205">
        <f t="shared" si="13"/>
        <v>9.5240434214840661</v>
      </c>
      <c r="P46" s="205">
        <f t="shared" si="13"/>
        <v>11.098247448756435</v>
      </c>
      <c r="Q46" s="205">
        <f t="shared" si="13"/>
        <v>12.343806447505411</v>
      </c>
      <c r="R46" s="205">
        <f t="shared" si="13"/>
        <v>13.116193913157279</v>
      </c>
      <c r="S46" s="205">
        <f t="shared" si="13"/>
        <v>15.077441360285196</v>
      </c>
      <c r="T46" s="205">
        <f t="shared" si="13"/>
        <v>16.61312197840342</v>
      </c>
      <c r="U46" s="205">
        <f t="shared" si="13"/>
        <v>21.283265595446878</v>
      </c>
      <c r="V46" s="205">
        <f t="shared" si="13"/>
        <v>19.827493806860549</v>
      </c>
      <c r="W46" s="205">
        <f t="shared" si="13"/>
        <v>20.947786615060814</v>
      </c>
      <c r="X46" s="205">
        <f t="shared" si="13"/>
        <v>21.148226508738261</v>
      </c>
      <c r="Y46" s="205">
        <f t="shared" si="13"/>
        <v>21.482547688083713</v>
      </c>
      <c r="Z46" s="7"/>
      <c r="AA46" s="7"/>
      <c r="AB46" s="7"/>
      <c r="AC46" s="7"/>
      <c r="AD46" s="7"/>
      <c r="AE46" s="7"/>
      <c r="AF46" s="7"/>
      <c r="AG46" s="7"/>
    </row>
    <row r="47" spans="1:33" s="51" customFormat="1" x14ac:dyDescent="0.25">
      <c r="E47" s="60"/>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row>
    <row r="48" spans="1:33" ht="18.75" x14ac:dyDescent="0.3">
      <c r="A48" s="45" t="s">
        <v>33</v>
      </c>
      <c r="B48" s="44"/>
      <c r="C48" s="44"/>
      <c r="D48" s="44"/>
      <c r="E48" s="61"/>
      <c r="F48" s="44"/>
      <c r="G48" s="44"/>
      <c r="H48" s="44"/>
      <c r="I48" s="44"/>
      <c r="J48" s="44"/>
      <c r="K48" s="44"/>
      <c r="L48" s="44"/>
      <c r="M48" s="44"/>
      <c r="N48" s="44"/>
      <c r="O48" s="44"/>
      <c r="P48" s="44"/>
      <c r="Q48" s="44"/>
      <c r="R48" s="44"/>
      <c r="S48" s="44"/>
      <c r="T48" s="44"/>
      <c r="U48" s="44"/>
      <c r="V48" s="44"/>
      <c r="W48" s="44"/>
      <c r="X48" s="44"/>
      <c r="Y48" s="44"/>
    </row>
    <row r="49" spans="1:33" x14ac:dyDescent="0.25">
      <c r="E49" s="58" t="s">
        <v>7</v>
      </c>
    </row>
    <row r="50" spans="1:33" x14ac:dyDescent="0.25">
      <c r="A50" s="200" t="str">
        <f>A12</f>
        <v>Benefit Category 1 - Reduction in Non Technical Losses</v>
      </c>
      <c r="E50" s="60"/>
      <c r="F50" s="7"/>
    </row>
    <row r="51" spans="1:33" x14ac:dyDescent="0.25">
      <c r="A51" s="109" t="s">
        <v>304</v>
      </c>
      <c r="B51" t="s">
        <v>12</v>
      </c>
      <c r="E51" s="60"/>
      <c r="F51" s="7">
        <f t="shared" ref="F51:Y51" si="14">Electricity_Distibuted_in_VPN*Initiative6_Percentage_of_Energy_Theft_in_Victoria</f>
        <v>4.9910999999999994</v>
      </c>
      <c r="G51" s="7">
        <f t="shared" si="14"/>
        <v>4.9910999999999994</v>
      </c>
      <c r="H51" s="7">
        <f t="shared" si="14"/>
        <v>4.9910999999999994</v>
      </c>
      <c r="I51" s="7">
        <f t="shared" si="14"/>
        <v>4.9910999999999994</v>
      </c>
      <c r="J51" s="7">
        <f t="shared" si="14"/>
        <v>4.9910999999999994</v>
      </c>
      <c r="K51" s="7">
        <f t="shared" si="14"/>
        <v>4.9910999999999994</v>
      </c>
      <c r="L51" s="7">
        <f t="shared" si="14"/>
        <v>4.9910999999999994</v>
      </c>
      <c r="M51" s="7">
        <f t="shared" si="14"/>
        <v>4.9910999999999994</v>
      </c>
      <c r="N51" s="7">
        <f t="shared" si="14"/>
        <v>4.9910999999999994</v>
      </c>
      <c r="O51" s="7">
        <f t="shared" si="14"/>
        <v>4.9910999999999994</v>
      </c>
      <c r="P51" s="7">
        <f t="shared" si="14"/>
        <v>4.9910999999999994</v>
      </c>
      <c r="Q51" s="7">
        <f t="shared" si="14"/>
        <v>4.9910999999999994</v>
      </c>
      <c r="R51" s="7">
        <f t="shared" si="14"/>
        <v>4.9910999999999994</v>
      </c>
      <c r="S51" s="7">
        <f t="shared" si="14"/>
        <v>4.9910999999999994</v>
      </c>
      <c r="T51" s="7">
        <f t="shared" si="14"/>
        <v>4.9910999999999994</v>
      </c>
      <c r="U51" s="7">
        <f t="shared" si="14"/>
        <v>4.9910999999999994</v>
      </c>
      <c r="V51" s="7">
        <f t="shared" si="14"/>
        <v>4.9910999999999994</v>
      </c>
      <c r="W51" s="7">
        <f t="shared" si="14"/>
        <v>4.9910999999999994</v>
      </c>
      <c r="X51" s="7">
        <f t="shared" si="14"/>
        <v>4.9910999999999994</v>
      </c>
      <c r="Y51" s="7">
        <f t="shared" si="14"/>
        <v>4.9910999999999994</v>
      </c>
    </row>
    <row r="52" spans="1:33" x14ac:dyDescent="0.25">
      <c r="A52" s="109" t="s">
        <v>305</v>
      </c>
      <c r="B52" t="s">
        <v>7</v>
      </c>
      <c r="E52" s="60"/>
      <c r="F52" s="14">
        <f t="shared" ref="F52:Y52" si="15">F51*Initiative6_Value_per_KWH_saved</f>
        <v>0.99821999999999989</v>
      </c>
      <c r="G52" s="14">
        <f t="shared" si="15"/>
        <v>0.99821999999999989</v>
      </c>
      <c r="H52" s="14">
        <f t="shared" si="15"/>
        <v>0.99821999999999989</v>
      </c>
      <c r="I52" s="14">
        <f t="shared" si="15"/>
        <v>0.99821999999999989</v>
      </c>
      <c r="J52" s="14">
        <f t="shared" si="15"/>
        <v>0.99821999999999989</v>
      </c>
      <c r="K52" s="14">
        <f t="shared" si="15"/>
        <v>0.99821999999999989</v>
      </c>
      <c r="L52" s="14">
        <f t="shared" si="15"/>
        <v>0.99821999999999989</v>
      </c>
      <c r="M52" s="14">
        <f t="shared" si="15"/>
        <v>0.99821999999999989</v>
      </c>
      <c r="N52" s="14">
        <f t="shared" si="15"/>
        <v>0.99821999999999989</v>
      </c>
      <c r="O52" s="14">
        <f t="shared" si="15"/>
        <v>0.99821999999999989</v>
      </c>
      <c r="P52" s="14">
        <f t="shared" si="15"/>
        <v>0.99821999999999989</v>
      </c>
      <c r="Q52" s="14">
        <f t="shared" si="15"/>
        <v>0.99821999999999989</v>
      </c>
      <c r="R52" s="14">
        <f t="shared" si="15"/>
        <v>0.99821999999999989</v>
      </c>
      <c r="S52" s="14">
        <f t="shared" si="15"/>
        <v>0.99821999999999989</v>
      </c>
      <c r="T52" s="14">
        <f t="shared" si="15"/>
        <v>0.99821999999999989</v>
      </c>
      <c r="U52" s="14">
        <f t="shared" si="15"/>
        <v>0.99821999999999989</v>
      </c>
      <c r="V52" s="14">
        <f t="shared" si="15"/>
        <v>0.99821999999999989</v>
      </c>
      <c r="W52" s="14">
        <f t="shared" si="15"/>
        <v>0.99821999999999989</v>
      </c>
      <c r="X52" s="14">
        <f t="shared" si="15"/>
        <v>0.99821999999999989</v>
      </c>
      <c r="Y52" s="14">
        <f t="shared" si="15"/>
        <v>0.99821999999999989</v>
      </c>
    </row>
    <row r="53" spans="1:33" ht="15.75" x14ac:dyDescent="0.25">
      <c r="A53" s="109" t="s">
        <v>13</v>
      </c>
      <c r="B53" t="s">
        <v>7</v>
      </c>
      <c r="C53" s="3" t="s">
        <v>9</v>
      </c>
      <c r="D53" s="24">
        <f>SUMPRODUCT(F53:Y53,F$6:Y$6)</f>
        <v>6.6970071192217429</v>
      </c>
      <c r="E53" s="59">
        <f>SUM(F53:Y53)</f>
        <v>8.9340689999999991</v>
      </c>
      <c r="F53" s="7">
        <f>IF(F5&gt;=Initiative6_Year_when_Option_1_Theft_Detection_Available,F52*Initiative6_Percentage_theft_reduction_with_Flex_Grid_Option_1,0)+Option2_scale*IF(F5&gt;=Initiative6_Year_when_Option_2_Theft_Detection_Available,F52*(Initiative6_Percentage_theft_reduction_with_Flex_Grid_Option_2-Initiative6_Percentage_theft_reduction_with_Flex_Grid_Option_1),0)*'Device Cost Input'!H22</f>
        <v>0</v>
      </c>
      <c r="G53" s="7">
        <f>IF(G5&gt;=Initiative6_Year_when_Option_1_Theft_Detection_Available,G52*Initiative6_Percentage_theft_reduction_with_Flex_Grid_Option_1,0)+Option2_scale*IF(G5&gt;=Initiative6_Year_when_Option_2_Theft_Detection_Available,G52*(Initiative6_Percentage_theft_reduction_with_Flex_Grid_Option_2-Initiative6_Percentage_theft_reduction_with_Flex_Grid_Option_1),0)*'Device Cost Input'!I22</f>
        <v>0.24955499999999997</v>
      </c>
      <c r="H53" s="7">
        <f>IF(H5&gt;=Initiative6_Year_when_Option_1_Theft_Detection_Available,H52*Initiative6_Percentage_theft_reduction_with_Flex_Grid_Option_1,0)+Option2_scale*IF(H5&gt;=Initiative6_Year_when_Option_2_Theft_Detection_Available,H52*(Initiative6_Percentage_theft_reduction_with_Flex_Grid_Option_2-Initiative6_Percentage_theft_reduction_with_Flex_Grid_Option_1),0)*'Device Cost Input'!J22</f>
        <v>0.34937699999999994</v>
      </c>
      <c r="I53" s="7">
        <f>IF(I5&gt;=Initiative6_Year_when_Option_1_Theft_Detection_Available,I52*Initiative6_Percentage_theft_reduction_with_Flex_Grid_Option_1,0)+Option2_scale*IF(I5&gt;=Initiative6_Year_when_Option_2_Theft_Detection_Available,I52*(Initiative6_Percentage_theft_reduction_with_Flex_Grid_Option_2-Initiative6_Percentage_theft_reduction_with_Flex_Grid_Option_1),0)*'Device Cost Input'!K22</f>
        <v>0.39928799999999998</v>
      </c>
      <c r="J53" s="7">
        <f>IF(J5&gt;=Initiative6_Year_when_Option_1_Theft_Detection_Available,J52*Initiative6_Percentage_theft_reduction_with_Flex_Grid_Option_1,0)+Option2_scale*IF(J5&gt;=Initiative6_Year_when_Option_2_Theft_Detection_Available,J52*(Initiative6_Percentage_theft_reduction_with_Flex_Grid_Option_2-Initiative6_Percentage_theft_reduction_with_Flex_Grid_Option_1),0)*'Device Cost Input'!L22</f>
        <v>0.44919899999999996</v>
      </c>
      <c r="K53" s="7">
        <f>IF(K5&gt;=Initiative6_Year_when_Option_1_Theft_Detection_Available,K52*Initiative6_Percentage_theft_reduction_with_Flex_Grid_Option_1,0)+Option2_scale*IF(K5&gt;=Initiative6_Year_when_Option_2_Theft_Detection_Available,K52*(Initiative6_Percentage_theft_reduction_with_Flex_Grid_Option_2-Initiative6_Percentage_theft_reduction_with_Flex_Grid_Option_1),0)*'Device Cost Input'!M22</f>
        <v>0.49910999999999994</v>
      </c>
      <c r="L53" s="7">
        <f>IF(L5&gt;=Initiative6_Year_when_Option_1_Theft_Detection_Available,L52*Initiative6_Percentage_theft_reduction_with_Flex_Grid_Option_1,0)+Option2_scale*IF(L5&gt;=Initiative6_Year_when_Option_2_Theft_Detection_Available,L52*(Initiative6_Percentage_theft_reduction_with_Flex_Grid_Option_2-Initiative6_Percentage_theft_reduction_with_Flex_Grid_Option_1),0)*'Device Cost Input'!N22</f>
        <v>0.49910999999999994</v>
      </c>
      <c r="M53" s="76">
        <f>IF(M5&gt;=Initiative6_Year_when_Option_1_Theft_Detection_Available,M52*Initiative6_Percentage_theft_reduction_with_Flex_Grid_Option_1,0)+Option2_scale*IF(M5&gt;=Initiative6_Year_when_Option_2_Theft_Detection_Available,M52*(Initiative6_Percentage_theft_reduction_with_Flex_Grid_Option_2-Initiative6_Percentage_theft_reduction_with_Flex_Grid_Option_1),0)*'Device Cost Input'!O22</f>
        <v>0.49910999999999994</v>
      </c>
      <c r="N53" s="7">
        <f>IF(N5&gt;=Initiative6_Year_when_Option_1_Theft_Detection_Available,N52*Initiative6_Percentage_theft_reduction_with_Flex_Grid_Option_1,0)+Option2_scale*IF(N5&gt;=Initiative6_Year_when_Option_2_Theft_Detection_Available,N52*(Initiative6_Percentage_theft_reduction_with_Flex_Grid_Option_2-Initiative6_Percentage_theft_reduction_with_Flex_Grid_Option_1),0)*'Device Cost Input'!P22</f>
        <v>0.49910999999999994</v>
      </c>
      <c r="O53" s="75">
        <f>IF(O5&gt;=Initiative6_Year_when_Option_1_Theft_Detection_Available,O52*Initiative6_Percentage_theft_reduction_with_Flex_Grid_Option_1,0)+Option2_scale*IF(O5&gt;=Initiative6_Year_when_Option_2_Theft_Detection_Available,O52*(Initiative6_Percentage_theft_reduction_with_Flex_Grid_Option_2-Initiative6_Percentage_theft_reduction_with_Flex_Grid_Option_1),0)*'Device Cost Input'!Q22</f>
        <v>0.49910999999999994</v>
      </c>
      <c r="P53" s="7">
        <f>IF(P5&gt;=Initiative6_Year_when_Option_1_Theft_Detection_Available,P52*Initiative6_Percentage_theft_reduction_with_Flex_Grid_Option_1,0)+Option2_scale*IF(P5&gt;=Initiative6_Year_when_Option_2_Theft_Detection_Available,P52*(Initiative6_Percentage_theft_reduction_with_Flex_Grid_Option_2-Initiative6_Percentage_theft_reduction_with_Flex_Grid_Option_1),0)*'Device Cost Input'!R22</f>
        <v>0.49910999999999994</v>
      </c>
      <c r="Q53" s="7">
        <f>IF(Q5&gt;=Initiative6_Year_when_Option_1_Theft_Detection_Available,Q52*Initiative6_Percentage_theft_reduction_with_Flex_Grid_Option_1,0)+Option2_scale*IF(Q5&gt;=Initiative6_Year_when_Option_2_Theft_Detection_Available,Q52*(Initiative6_Percentage_theft_reduction_with_Flex_Grid_Option_2-Initiative6_Percentage_theft_reduction_with_Flex_Grid_Option_1),0)*'Device Cost Input'!S22</f>
        <v>0.49910999999999994</v>
      </c>
      <c r="R53" s="7">
        <f>IF(R5&gt;=Initiative6_Year_when_Option_1_Theft_Detection_Available,R52*Initiative6_Percentage_theft_reduction_with_Flex_Grid_Option_1,0)+Option2_scale*IF(R5&gt;=Initiative6_Year_when_Option_2_Theft_Detection_Available,R52*(Initiative6_Percentage_theft_reduction_with_Flex_Grid_Option_2-Initiative6_Percentage_theft_reduction_with_Flex_Grid_Option_1),0)*'Device Cost Input'!T22</f>
        <v>0.49910999999999994</v>
      </c>
      <c r="S53" s="7">
        <f>IF(S5&gt;=Initiative6_Year_when_Option_1_Theft_Detection_Available,S52*Initiative6_Percentage_theft_reduction_with_Flex_Grid_Option_1,0)+Option2_scale*IF(S5&gt;=Initiative6_Year_when_Option_2_Theft_Detection_Available,S52*(Initiative6_Percentage_theft_reduction_with_Flex_Grid_Option_2-Initiative6_Percentage_theft_reduction_with_Flex_Grid_Option_1),0)*'Device Cost Input'!U22</f>
        <v>0.49910999999999994</v>
      </c>
      <c r="T53" s="7">
        <f>IF(T5&gt;=Initiative6_Year_when_Option_1_Theft_Detection_Available,T52*Initiative6_Percentage_theft_reduction_with_Flex_Grid_Option_1,0)+Option2_scale*IF(T5&gt;=Initiative6_Year_when_Option_2_Theft_Detection_Available,T52*(Initiative6_Percentage_theft_reduction_with_Flex_Grid_Option_2-Initiative6_Percentage_theft_reduction_with_Flex_Grid_Option_1),0)*'Device Cost Input'!V22</f>
        <v>0.49910999999999994</v>
      </c>
      <c r="U53" s="7">
        <f>IF(U5&gt;=Initiative6_Year_when_Option_1_Theft_Detection_Available,U52*Initiative6_Percentage_theft_reduction_with_Flex_Grid_Option_1,0)+Option2_scale*IF(U5&gt;=Initiative6_Year_when_Option_2_Theft_Detection_Available,U52*(Initiative6_Percentage_theft_reduction_with_Flex_Grid_Option_2-Initiative6_Percentage_theft_reduction_with_Flex_Grid_Option_1),0)*'Device Cost Input'!W22</f>
        <v>0.49910999999999994</v>
      </c>
      <c r="V53" s="7">
        <f>IF(V5&gt;=Initiative6_Year_when_Option_1_Theft_Detection_Available,V52*Initiative6_Percentage_theft_reduction_with_Flex_Grid_Option_1,0)+Option2_scale*IF(V5&gt;=Initiative6_Year_when_Option_2_Theft_Detection_Available,V52*(Initiative6_Percentage_theft_reduction_with_Flex_Grid_Option_2-Initiative6_Percentage_theft_reduction_with_Flex_Grid_Option_1),0)*'Device Cost Input'!X22</f>
        <v>0.49910999999999994</v>
      </c>
      <c r="W53" s="7">
        <f>IF(W5&gt;=Initiative6_Year_when_Option_1_Theft_Detection_Available,W52*Initiative6_Percentage_theft_reduction_with_Flex_Grid_Option_1,0)+Option2_scale*IF(W5&gt;=Initiative6_Year_when_Option_2_Theft_Detection_Available,W52*(Initiative6_Percentage_theft_reduction_with_Flex_Grid_Option_2-Initiative6_Percentage_theft_reduction_with_Flex_Grid_Option_1),0)*'Device Cost Input'!Y22</f>
        <v>0.49910999999999994</v>
      </c>
      <c r="X53" s="7">
        <f>IF(X5&gt;=Initiative6_Year_when_Option_1_Theft_Detection_Available,X52*Initiative6_Percentage_theft_reduction_with_Flex_Grid_Option_1,0)+Option2_scale*IF(X5&gt;=Initiative6_Year_when_Option_2_Theft_Detection_Available,X52*(Initiative6_Percentage_theft_reduction_with_Flex_Grid_Option_2-Initiative6_Percentage_theft_reduction_with_Flex_Grid_Option_1),0)*'Device Cost Input'!Z22</f>
        <v>0.49910999999999994</v>
      </c>
      <c r="Y53" s="7">
        <f>IF(Y5&gt;=Initiative6_Year_when_Option_1_Theft_Detection_Available,Y52*Initiative6_Percentage_theft_reduction_with_Flex_Grid_Option_1,0)+Option2_scale*IF(Y5&gt;=Initiative6_Year_when_Option_2_Theft_Detection_Available,Y52*(Initiative6_Percentage_theft_reduction_with_Flex_Grid_Option_2-Initiative6_Percentage_theft_reduction_with_Flex_Grid_Option_1),0)*'Device Cost Input'!AA22</f>
        <v>0.49910999999999994</v>
      </c>
    </row>
    <row r="54" spans="1:33" ht="15.75" x14ac:dyDescent="0.25">
      <c r="A54" s="109" t="s">
        <v>246</v>
      </c>
      <c r="C54" s="4"/>
      <c r="D54" s="4"/>
      <c r="E54" s="60"/>
      <c r="F54" s="9">
        <f>(SUM('Device Cost Input'!$H$6:'Device Cost Input'!H6)+SUM('Device Cost Input'!$H$4:H4))/('Device Cost Input'!$E$6+'Device Cost Input'!$E$4)</f>
        <v>0</v>
      </c>
      <c r="G54" s="9">
        <f>(SUM('Device Cost Input'!$H$6:'Device Cost Input'!I6)+SUM('Device Cost Input'!$H$4:I4))/('Device Cost Input'!$E$6+'Device Cost Input'!$E$4)</f>
        <v>0.19999999999999996</v>
      </c>
      <c r="H54" s="9">
        <f>(SUM('Device Cost Input'!$H$6:'Device Cost Input'!J6)+SUM('Device Cost Input'!$H$4:J4))/('Device Cost Input'!$E$6+'Device Cost Input'!$E$4)</f>
        <v>0.39999999999999991</v>
      </c>
      <c r="I54" s="9">
        <f>(SUM('Device Cost Input'!$H$6:'Device Cost Input'!K6)+SUM('Device Cost Input'!$H$4:K4))/('Device Cost Input'!$E$6+'Device Cost Input'!$E$4)</f>
        <v>0.59999999999999987</v>
      </c>
      <c r="J54" s="9">
        <f>(SUM('Device Cost Input'!$H$6:'Device Cost Input'!L6)+SUM('Device Cost Input'!$H$4:L4))/('Device Cost Input'!$E$6+'Device Cost Input'!$E$4)</f>
        <v>0.79999999999999982</v>
      </c>
      <c r="K54" s="9">
        <f>(SUM('Device Cost Input'!$H$6:'Device Cost Input'!M6)+SUM('Device Cost Input'!$H$4:M4))/('Device Cost Input'!$E$6+'Device Cost Input'!$E$4)</f>
        <v>1</v>
      </c>
      <c r="L54" s="9">
        <f>(SUM('Device Cost Input'!$H$6:'Device Cost Input'!N6)+SUM('Device Cost Input'!$H$4:N4))/('Device Cost Input'!$E$6+'Device Cost Input'!$E$4)</f>
        <v>1</v>
      </c>
      <c r="M54" s="9">
        <f>(SUM('Device Cost Input'!$H$6:'Device Cost Input'!O6)+SUM('Device Cost Input'!$H$4:O4))/('Device Cost Input'!$E$6+'Device Cost Input'!$E$4)</f>
        <v>1</v>
      </c>
      <c r="N54" s="9">
        <f>(SUM('Device Cost Input'!$H$6:'Device Cost Input'!P6)+SUM('Device Cost Input'!$H$4:P4))/('Device Cost Input'!$E$6+'Device Cost Input'!$E$4)</f>
        <v>1</v>
      </c>
      <c r="O54" s="9">
        <f>(SUM('Device Cost Input'!$H$6:'Device Cost Input'!Q6)+SUM('Device Cost Input'!$H$4:Q4))/('Device Cost Input'!$E$6+'Device Cost Input'!$E$4)</f>
        <v>1</v>
      </c>
      <c r="P54" s="9">
        <f>(SUM('Device Cost Input'!$H$6:'Device Cost Input'!R6)+SUM('Device Cost Input'!$H$4:R4))/('Device Cost Input'!$E$6+'Device Cost Input'!$E$4)</f>
        <v>1</v>
      </c>
      <c r="Q54" s="9">
        <f>(SUM('Device Cost Input'!$H$6:'Device Cost Input'!S6)+SUM('Device Cost Input'!$H$4:S4))/('Device Cost Input'!$E$6+'Device Cost Input'!$E$4)</f>
        <v>1</v>
      </c>
      <c r="R54" s="9">
        <f>(SUM('Device Cost Input'!$H$6:'Device Cost Input'!T6)+SUM('Device Cost Input'!$H$4:T4))/('Device Cost Input'!$E$6+'Device Cost Input'!$E$4)</f>
        <v>1</v>
      </c>
      <c r="S54" s="9">
        <f>(SUM('Device Cost Input'!$H$6:'Device Cost Input'!U6)+SUM('Device Cost Input'!$H$4:U4))/('Device Cost Input'!$E$6+'Device Cost Input'!$E$4)</f>
        <v>1</v>
      </c>
      <c r="T54" s="9">
        <f>(SUM('Device Cost Input'!$H$6:'Device Cost Input'!V6)+SUM('Device Cost Input'!$H$4:V4))/('Device Cost Input'!$E$6+'Device Cost Input'!$E$4)</f>
        <v>1</v>
      </c>
      <c r="U54" s="9">
        <f>(SUM('Device Cost Input'!$H$6:'Device Cost Input'!W6)+SUM('Device Cost Input'!$H$4:W4))/('Device Cost Input'!$E$6+'Device Cost Input'!$E$4)</f>
        <v>1</v>
      </c>
      <c r="V54" s="9">
        <f>(SUM('Device Cost Input'!$H$6:'Device Cost Input'!X6)+SUM('Device Cost Input'!$H$4:X4))/('Device Cost Input'!$E$6+'Device Cost Input'!$E$4)</f>
        <v>1</v>
      </c>
      <c r="W54" s="9">
        <f>(SUM('Device Cost Input'!$H$6:'Device Cost Input'!Y6)+SUM('Device Cost Input'!$H$4:Y4))/('Device Cost Input'!$E$6+'Device Cost Input'!$E$4)</f>
        <v>1</v>
      </c>
      <c r="X54" s="9">
        <f>(SUM('Device Cost Input'!$H$6:'Device Cost Input'!Z6)+SUM('Device Cost Input'!$H$4:Z4))/('Device Cost Input'!$E$6+'Device Cost Input'!$E$4)</f>
        <v>1</v>
      </c>
      <c r="Y54" s="9">
        <f>(SUM('Device Cost Input'!$H$6:'Device Cost Input'!AA6)+SUM('Device Cost Input'!$H$4:AA4))/('Device Cost Input'!$E$6+'Device Cost Input'!$E$4)</f>
        <v>1</v>
      </c>
      <c r="Z54" s="7"/>
      <c r="AA54" s="7"/>
      <c r="AB54" s="7"/>
      <c r="AC54" s="7"/>
      <c r="AD54" s="7"/>
      <c r="AE54" s="7"/>
      <c r="AF54" s="7"/>
      <c r="AG54" s="7"/>
    </row>
    <row r="55" spans="1:33" x14ac:dyDescent="0.25">
      <c r="A55" s="109" t="s">
        <v>247</v>
      </c>
      <c r="B55" t="s">
        <v>146</v>
      </c>
      <c r="E55" s="60"/>
      <c r="F55" s="7">
        <f>IF(F5&gt;=Initiative6_Year_when_Option_2_UMS_Unrecording_Available,'Benefit Input Pars'!$B$35*(1+'Benefit Input Pars'!$B$36)^F5*Initiative6_Percentage_of_electricity_that_is_UMS_underrecording*Initiative6_Percentage_unrecorded_UMS_reduction_with_Flex_Grid_Option_2,0)</f>
        <v>0</v>
      </c>
      <c r="G55" s="7">
        <f>IF(G5&gt;=Initiative6_Year_when_Option_2_UMS_Unrecording_Available,'Benefit Input Pars'!$B$35*(1+'Benefit Input Pars'!$B$36)^G5*Initiative6_Percentage_of_electricity_that_is_UMS_underrecording*Initiative6_Percentage_unrecorded_UMS_reduction_with_Flex_Grid_Option_2,0)</f>
        <v>63.037500000000001</v>
      </c>
      <c r="H55" s="7">
        <f>IF(H5&gt;=Initiative6_Year_when_Option_2_UMS_Unrecording_Available,'Benefit Input Pars'!$B$35*(1+'Benefit Input Pars'!$B$36)^H5*Initiative6_Percentage_of_electricity_that_is_UMS_underrecording*Initiative6_Percentage_unrecorded_UMS_reduction_with_Flex_Grid_Option_2,0)</f>
        <v>64.613437500000003</v>
      </c>
      <c r="I55" s="7">
        <f>IF(I5&gt;=Initiative6_Year_when_Option_2_UMS_Unrecording_Available,'Benefit Input Pars'!$B$35*(1+'Benefit Input Pars'!$B$36)^I5*Initiative6_Percentage_of_electricity_that_is_UMS_underrecording*Initiative6_Percentage_unrecorded_UMS_reduction_with_Flex_Grid_Option_2,0)</f>
        <v>66.228773437499996</v>
      </c>
      <c r="J55" s="7">
        <f>IF(J5&gt;=Initiative6_Year_when_Option_2_UMS_Unrecording_Available,'Benefit Input Pars'!$B$35*(1+'Benefit Input Pars'!$B$36)^J5*Initiative6_Percentage_of_electricity_that_is_UMS_underrecording*Initiative6_Percentage_unrecorded_UMS_reduction_with_Flex_Grid_Option_2,0)</f>
        <v>67.884492773437486</v>
      </c>
      <c r="K55" s="7">
        <f>IF(K5&gt;=Initiative6_Year_when_Option_2_UMS_Unrecording_Available,'Benefit Input Pars'!$B$35*(1+'Benefit Input Pars'!$B$36)^K5*Initiative6_Percentage_of_electricity_that_is_UMS_underrecording*Initiative6_Percentage_unrecorded_UMS_reduction_with_Flex_Grid_Option_2,0)</f>
        <v>69.581605092773415</v>
      </c>
      <c r="L55" s="7">
        <f>IF(L5&gt;=Initiative6_Year_when_Option_2_UMS_Unrecording_Available,'Benefit Input Pars'!$B$35*(1+'Benefit Input Pars'!$B$36)^L5*Initiative6_Percentage_of_electricity_that_is_UMS_underrecording*Initiative6_Percentage_unrecorded_UMS_reduction_with_Flex_Grid_Option_2,0)</f>
        <v>71.32114522009276</v>
      </c>
      <c r="M55" s="7">
        <f>IF(M5&gt;=Initiative6_Year_when_Option_2_UMS_Unrecording_Available,'Benefit Input Pars'!$B$35*(1+'Benefit Input Pars'!$B$36)^M5*Initiative6_Percentage_of_electricity_that_is_UMS_underrecording*Initiative6_Percentage_unrecorded_UMS_reduction_with_Flex_Grid_Option_2,0)</f>
        <v>73.104173850595075</v>
      </c>
      <c r="N55" s="7">
        <f>IF(N5&gt;=Initiative6_Year_when_Option_2_UMS_Unrecording_Available,'Benefit Input Pars'!$B$35*(1+'Benefit Input Pars'!$B$36)^N5*Initiative6_Percentage_of_electricity_that_is_UMS_underrecording*Initiative6_Percentage_unrecorded_UMS_reduction_with_Flex_Grid_Option_2,0)</f>
        <v>74.931778196859923</v>
      </c>
      <c r="O55" s="7">
        <f>IF(O5&gt;=Initiative6_Year_when_Option_2_UMS_Unrecording_Available,'Benefit Input Pars'!$B$35*(1+'Benefit Input Pars'!$B$36)^O5*Initiative6_Percentage_of_electricity_that_is_UMS_underrecording*Initiative6_Percentage_unrecorded_UMS_reduction_with_Flex_Grid_Option_2,0)</f>
        <v>76.80507265178143</v>
      </c>
      <c r="P55" s="7">
        <f>IF(P5&gt;=Initiative6_Year_when_Option_2_UMS_Unrecording_Available,'Benefit Input Pars'!$B$35*(1+'Benefit Input Pars'!$B$36)^P5*Initiative6_Percentage_of_electricity_that_is_UMS_underrecording*Initiative6_Percentage_unrecorded_UMS_reduction_with_Flex_Grid_Option_2,0)</f>
        <v>78.725199468075971</v>
      </c>
      <c r="Q55" s="7">
        <f>IF(Q5&gt;=Initiative6_Year_when_Option_2_UMS_Unrecording_Available,'Benefit Input Pars'!$B$35*(1+'Benefit Input Pars'!$B$36)^Q5*Initiative6_Percentage_of_electricity_that_is_UMS_underrecording*Initiative6_Percentage_unrecorded_UMS_reduction_with_Flex_Grid_Option_2,0)</f>
        <v>80.693329454777853</v>
      </c>
      <c r="R55" s="7">
        <f>IF(R5&gt;=Initiative6_Year_when_Option_2_UMS_Unrecording_Available,'Benefit Input Pars'!$B$35*(1+'Benefit Input Pars'!$B$36)^R5*Initiative6_Percentage_of_electricity_that_is_UMS_underrecording*Initiative6_Percentage_unrecorded_UMS_reduction_with_Flex_Grid_Option_2,0)</f>
        <v>82.710662691147306</v>
      </c>
      <c r="S55" s="7">
        <f>IF(S5&gt;=Initiative6_Year_when_Option_2_UMS_Unrecording_Available,'Benefit Input Pars'!$B$35*(1+'Benefit Input Pars'!$B$36)^S5*Initiative6_Percentage_of_electricity_that_is_UMS_underrecording*Initiative6_Percentage_unrecorded_UMS_reduction_with_Flex_Grid_Option_2,0)</f>
        <v>84.778429258425973</v>
      </c>
      <c r="T55" s="7">
        <f>IF(T5&gt;=Initiative6_Year_when_Option_2_UMS_Unrecording_Available,'Benefit Input Pars'!$B$35*(1+'Benefit Input Pars'!$B$36)^T5*Initiative6_Percentage_of_electricity_that_is_UMS_underrecording*Initiative6_Percentage_unrecorded_UMS_reduction_with_Flex_Grid_Option_2,0)</f>
        <v>86.897889989886636</v>
      </c>
      <c r="U55" s="7">
        <f>IF(U5&gt;=Initiative6_Year_when_Option_2_UMS_Unrecording_Available,'Benefit Input Pars'!$B$35*(1+'Benefit Input Pars'!$B$36)^U5*Initiative6_Percentage_of_electricity_that_is_UMS_underrecording*Initiative6_Percentage_unrecorded_UMS_reduction_with_Flex_Grid_Option_2,0)</f>
        <v>89.070337239633787</v>
      </c>
      <c r="V55" s="7">
        <f>IF(V5&gt;=Initiative6_Year_when_Option_2_UMS_Unrecording_Available,'Benefit Input Pars'!$B$35*(1+'Benefit Input Pars'!$B$36)^V5*Initiative6_Percentage_of_electricity_that_is_UMS_underrecording*Initiative6_Percentage_unrecorded_UMS_reduction_with_Flex_Grid_Option_2,0)</f>
        <v>91.297095670624628</v>
      </c>
      <c r="W55" s="7">
        <f>IF(W5&gt;=Initiative6_Year_when_Option_2_UMS_Unrecording_Available,'Benefit Input Pars'!$B$35*(1+'Benefit Input Pars'!$B$36)^W5*Initiative6_Percentage_of_electricity_that_is_UMS_underrecording*Initiative6_Percentage_unrecorded_UMS_reduction_with_Flex_Grid_Option_2,0)</f>
        <v>93.579523062390251</v>
      </c>
      <c r="X55" s="7">
        <f>IF(X5&gt;=Initiative6_Year_when_Option_2_UMS_Unrecording_Available,'Benefit Input Pars'!$B$35*(1+'Benefit Input Pars'!$B$36)^X5*Initiative6_Percentage_of_electricity_that_is_UMS_underrecording*Initiative6_Percentage_unrecorded_UMS_reduction_with_Flex_Grid_Option_2,0)</f>
        <v>95.919011138949998</v>
      </c>
      <c r="Y55" s="7">
        <f>IF(Y5&gt;=Initiative6_Year_when_Option_2_UMS_Unrecording_Available,'Benefit Input Pars'!$B$35*(1+'Benefit Input Pars'!$B$36)^Y5*Initiative6_Percentage_of_electricity_that_is_UMS_underrecording*Initiative6_Percentage_unrecorded_UMS_reduction_with_Flex_Grid_Option_2,0)</f>
        <v>98.316986417423735</v>
      </c>
      <c r="Z55" s="7"/>
      <c r="AA55" s="7"/>
      <c r="AB55" s="7"/>
      <c r="AC55" s="7"/>
      <c r="AD55" s="7"/>
      <c r="AE55" s="7"/>
      <c r="AF55" s="7"/>
      <c r="AG55" s="7"/>
    </row>
    <row r="56" spans="1:33" ht="15.75" x14ac:dyDescent="0.25">
      <c r="A56" s="156" t="s">
        <v>63</v>
      </c>
      <c r="B56" s="91" t="s">
        <v>7</v>
      </c>
      <c r="C56" s="202" t="s">
        <v>9</v>
      </c>
      <c r="D56" s="206">
        <f>SUMPRODUCT(F56:Y56,F$6:Y$6)</f>
        <v>2.7875042745452565</v>
      </c>
      <c r="E56" s="204">
        <f>SUM(F56:Y56)</f>
        <v>3.8306902661890856</v>
      </c>
      <c r="F56" s="208">
        <f>(F54*F55*('Device Cost Input'!$D$6+'Device Cost Input'!$D$4)*Initiative6_Value_per_KWH_saved)/Million</f>
        <v>0</v>
      </c>
      <c r="G56" s="209">
        <f>(G54*G55*('Device Cost Input'!$D$6+'Device Cost Input'!$D$4)*Initiative6_Value_per_KWH_saved)/Million</f>
        <v>3.4990855500000001E-2</v>
      </c>
      <c r="H56" s="208">
        <f>(H54*H55*('Device Cost Input'!$D$6+'Device Cost Input'!$D$4)*Initiative6_Value_per_KWH_saved)/Million</f>
        <v>7.173125377499999E-2</v>
      </c>
      <c r="I56" s="208">
        <f>(I54*I55*('Device Cost Input'!$D$6+'Device Cost Input'!$D$4)*Initiative6_Value_per_KWH_saved)/Million</f>
        <v>0.11028680267906248</v>
      </c>
      <c r="J56" s="208">
        <f>(J54*J55*('Device Cost Input'!$D$6+'Device Cost Input'!$D$4)*Initiative6_Value_per_KWH_saved)/Million</f>
        <v>0.1507252969947187</v>
      </c>
      <c r="K56" s="208">
        <f>(K54*K55*('Device Cost Input'!$D$6+'Device Cost Input'!$D$4)*Initiative6_Value_per_KWH_saved)/Million</f>
        <v>0.19311678677448335</v>
      </c>
      <c r="L56" s="208">
        <f>(L54*L55*('Device Cost Input'!$D$6+'Device Cost Input'!$D$4)*Initiative6_Value_per_KWH_saved)/Million</f>
        <v>0.19794470644384543</v>
      </c>
      <c r="M56" s="208">
        <f>(M54*M55*('Device Cost Input'!$D$6+'Device Cost Input'!$D$4)*Initiative6_Value_per_KWH_saved)/Million</f>
        <v>0.20289332410494157</v>
      </c>
      <c r="N56" s="208">
        <f>(N54*N55*('Device Cost Input'!$D$6+'Device Cost Input'!$D$4)*Initiative6_Value_per_KWH_saved)/Million</f>
        <v>0.20796565720756505</v>
      </c>
      <c r="O56" s="208">
        <f>(O54*O55*('Device Cost Input'!$D$6+'Device Cost Input'!$D$4)*Initiative6_Value_per_KWH_saved)/Million</f>
        <v>0.2131647986377542</v>
      </c>
      <c r="P56" s="208">
        <f>(P54*P55*('Device Cost Input'!$D$6+'Device Cost Input'!$D$4)*Initiative6_Value_per_KWH_saved)/Million</f>
        <v>0.21849391860369807</v>
      </c>
      <c r="Q56" s="208">
        <f>(Q54*Q55*('Device Cost Input'!$D$6+'Device Cost Input'!$D$4)*Initiative6_Value_per_KWH_saved)/Million</f>
        <v>0.22395626656879047</v>
      </c>
      <c r="R56" s="208">
        <f>(R54*R55*('Device Cost Input'!$D$6+'Device Cost Input'!$D$4)*Initiative6_Value_per_KWH_saved)/Million</f>
        <v>0.22955517323301025</v>
      </c>
      <c r="S56" s="208">
        <f>(S54*S55*('Device Cost Input'!$D$6+'Device Cost Input'!$D$4)*Initiative6_Value_per_KWH_saved)/Million</f>
        <v>0.23529405256383545</v>
      </c>
      <c r="T56" s="208">
        <f>(T54*T55*('Device Cost Input'!$D$6+'Device Cost Input'!$D$4)*Initiative6_Value_per_KWH_saved)/Million</f>
        <v>0.24117640387793138</v>
      </c>
      <c r="U56" s="208">
        <f>(U54*U55*('Device Cost Input'!$D$6+'Device Cost Input'!$D$4)*Initiative6_Value_per_KWH_saved)/Million</f>
        <v>0.24720581397487959</v>
      </c>
      <c r="V56" s="208">
        <f>(V54*V55*('Device Cost Input'!$D$6+'Device Cost Input'!$D$4)*Initiative6_Value_per_KWH_saved)/Million</f>
        <v>0.25338595932425162</v>
      </c>
      <c r="W56" s="208">
        <f>(W54*W55*('Device Cost Input'!$D$6+'Device Cost Input'!$D$4)*Initiative6_Value_per_KWH_saved)/Million</f>
        <v>0.25972060830735794</v>
      </c>
      <c r="X56" s="208">
        <f>(X54*X55*('Device Cost Input'!$D$6+'Device Cost Input'!$D$4)*Initiative6_Value_per_KWH_saved)/Million</f>
        <v>0.26621362351504185</v>
      </c>
      <c r="Y56" s="209">
        <f>(Y54*Y55*('Device Cost Input'!$D$6+'Device Cost Input'!$D$4)*Initiative6_Value_per_KWH_saved)/Million</f>
        <v>0.27286896410291783</v>
      </c>
      <c r="Z56" s="14"/>
      <c r="AA56" s="14"/>
      <c r="AB56" s="14"/>
      <c r="AC56" s="14"/>
      <c r="AD56" s="14"/>
      <c r="AE56" s="14"/>
      <c r="AF56" s="7"/>
      <c r="AG56" s="7"/>
    </row>
    <row r="57" spans="1:33" x14ac:dyDescent="0.25">
      <c r="A57" s="109"/>
      <c r="E57" s="60"/>
      <c r="F57" s="29"/>
    </row>
    <row r="58" spans="1:33" x14ac:dyDescent="0.25">
      <c r="A58" s="200" t="str">
        <f>A17</f>
        <v>Benefit Category 2 - Cost Reflective Pricing</v>
      </c>
      <c r="E58" s="60"/>
      <c r="F58" s="7"/>
      <c r="G58" s="7"/>
    </row>
    <row r="59" spans="1:33" ht="15.75" x14ac:dyDescent="0.25">
      <c r="A59" s="109" t="s">
        <v>31</v>
      </c>
      <c r="B59" t="s">
        <v>7</v>
      </c>
      <c r="C59" s="3" t="s">
        <v>14</v>
      </c>
      <c r="D59" s="3" t="s">
        <v>14</v>
      </c>
      <c r="E59" s="60"/>
      <c r="F59" s="7">
        <f>IF(F5&gt;=Initiative7_Year_when_Flexible_Grid_Network_available_for_Summer_Saver_Program_for__VPN_with_Option_1,Initiative7_Annual_Equivalent_Savings_available_from_Commencement_of_a_VPN_Summer_Saver_Program_for_Option_1,0)*(1+'Benefit Input Pars'!$B$45*Option2_scale)</f>
        <v>0</v>
      </c>
      <c r="G59" s="7">
        <f>IF(G5&gt;=Initiative7_Year_when_Flexible_Grid_Network_available_for_Summer_Saver_Program_for__VPN_with_Option_1,Initiative7_Annual_Equivalent_Savings_available_from_Commencement_of_a_VPN_Summer_Saver_Program_for_Option_1,0)*(1+'Benefit Input Pars'!$B$45*Option2_scale)</f>
        <v>0</v>
      </c>
      <c r="H59" s="7">
        <f>IF(H5&gt;=Initiative7_Year_when_Flexible_Grid_Network_available_for_Summer_Saver_Program_for__VPN_with_Option_1,Initiative7_Annual_Equivalent_Savings_available_from_Commencement_of_a_VPN_Summer_Saver_Program_for_Option_1,0)*(1+'Benefit Input Pars'!$B$45*Option2_scale)</f>
        <v>16.200000000000003</v>
      </c>
      <c r="I59" s="7">
        <f>IF(I5&gt;=Initiative7_Year_when_Flexible_Grid_Network_available_for_Summer_Saver_Program_for__VPN_with_Option_1,Initiative7_Annual_Equivalent_Savings_available_from_Commencement_of_a_VPN_Summer_Saver_Program_for_Option_1,0)*(1+'Benefit Input Pars'!$B$45*Option2_scale)</f>
        <v>16.200000000000003</v>
      </c>
      <c r="J59" s="7">
        <f>IF(J5&gt;=Initiative7_Year_when_Flexible_Grid_Network_available_for_Summer_Saver_Program_for__VPN_with_Option_1,Initiative7_Annual_Equivalent_Savings_available_from_Commencement_of_a_VPN_Summer_Saver_Program_for_Option_1,0)*(1+'Benefit Input Pars'!$B$45*Option2_scale)</f>
        <v>16.200000000000003</v>
      </c>
      <c r="K59" s="7">
        <f>IF(K5&gt;=Initiative7_Year_when_Flexible_Grid_Network_available_for_Summer_Saver_Program_for__VPN_with_Option_1,Initiative7_Annual_Equivalent_Savings_available_from_Commencement_of_a_VPN_Summer_Saver_Program_for_Option_1,0)*(1+'Benefit Input Pars'!$B$45*Option2_scale)</f>
        <v>16.200000000000003</v>
      </c>
      <c r="L59" s="7">
        <f>IF(L5&gt;=Initiative7_Year_when_Flexible_Grid_Network_available_for_Summer_Saver_Program_for__VPN_with_Option_1,Initiative7_Annual_Equivalent_Savings_available_from_Commencement_of_a_VPN_Summer_Saver_Program_for_Option_1,0)*(1+'Benefit Input Pars'!$B$45*Option2_scale)</f>
        <v>16.200000000000003</v>
      </c>
      <c r="M59" s="7">
        <f>IF(M5&gt;=Initiative7_Year_when_Flexible_Grid_Network_available_for_Summer_Saver_Program_for__VPN_with_Option_1,Initiative7_Annual_Equivalent_Savings_available_from_Commencement_of_a_VPN_Summer_Saver_Program_for_Option_1,0)*(1+'Benefit Input Pars'!$B$45*Option2_scale)</f>
        <v>16.200000000000003</v>
      </c>
      <c r="N59" s="7">
        <f>IF(N5&gt;=Initiative7_Year_when_Flexible_Grid_Network_available_for_Summer_Saver_Program_for__VPN_with_Option_1,Initiative7_Annual_Equivalent_Savings_available_from_Commencement_of_a_VPN_Summer_Saver_Program_for_Option_1,0)*(1+'Benefit Input Pars'!$B$45*Option2_scale)</f>
        <v>16.200000000000003</v>
      </c>
      <c r="O59" s="7">
        <f>IF(O5&gt;=Initiative7_Year_when_Flexible_Grid_Network_available_for_Summer_Saver_Program_for__VPN_with_Option_1,Initiative7_Annual_Equivalent_Savings_available_from_Commencement_of_a_VPN_Summer_Saver_Program_for_Option_1,0)*(1+'Benefit Input Pars'!$B$45*Option2_scale)</f>
        <v>16.200000000000003</v>
      </c>
      <c r="P59" s="7">
        <f>IF(P5&gt;=Initiative7_Year_when_Flexible_Grid_Network_available_for_Summer_Saver_Program_for__VPN_with_Option_1,Initiative7_Annual_Equivalent_Savings_available_from_Commencement_of_a_VPN_Summer_Saver_Program_for_Option_1,0)*(1+'Benefit Input Pars'!$B$45*Option2_scale)</f>
        <v>16.200000000000003</v>
      </c>
      <c r="Q59" s="7">
        <f>IF(Q5&gt;=Initiative7_Year_when_Flexible_Grid_Network_available_for_Summer_Saver_Program_for__VPN_with_Option_1,Initiative7_Annual_Equivalent_Savings_available_from_Commencement_of_a_VPN_Summer_Saver_Program_for_Option_1,0)*(1+'Benefit Input Pars'!$B$45*Option2_scale)</f>
        <v>16.200000000000003</v>
      </c>
      <c r="R59" s="7">
        <f>IF(R5&gt;=Initiative7_Year_when_Flexible_Grid_Network_available_for_Summer_Saver_Program_for__VPN_with_Option_1,Initiative7_Annual_Equivalent_Savings_available_from_Commencement_of_a_VPN_Summer_Saver_Program_for_Option_1,0)*(1+'Benefit Input Pars'!$B$45*Option2_scale)</f>
        <v>16.200000000000003</v>
      </c>
      <c r="S59" s="7">
        <f>IF(S5&gt;=Initiative7_Year_when_Flexible_Grid_Network_available_for_Summer_Saver_Program_for__VPN_with_Option_1,Initiative7_Annual_Equivalent_Savings_available_from_Commencement_of_a_VPN_Summer_Saver_Program_for_Option_1,0)*(1+'Benefit Input Pars'!$B$45*Option2_scale)</f>
        <v>16.200000000000003</v>
      </c>
      <c r="T59" s="7">
        <f>IF(T5&gt;=Initiative7_Year_when_Flexible_Grid_Network_available_for_Summer_Saver_Program_for__VPN_with_Option_1,Initiative7_Annual_Equivalent_Savings_available_from_Commencement_of_a_VPN_Summer_Saver_Program_for_Option_1,0)*(1+'Benefit Input Pars'!$B$45*Option2_scale)</f>
        <v>16.200000000000003</v>
      </c>
      <c r="U59" s="7">
        <f>IF(U5&gt;=Initiative7_Year_when_Flexible_Grid_Network_available_for_Summer_Saver_Program_for__VPN_with_Option_1,Initiative7_Annual_Equivalent_Savings_available_from_Commencement_of_a_VPN_Summer_Saver_Program_for_Option_1,0)*(1+'Benefit Input Pars'!$B$45*Option2_scale)</f>
        <v>16.200000000000003</v>
      </c>
      <c r="V59" s="7">
        <f>IF(V5&gt;=Initiative7_Year_when_Flexible_Grid_Network_available_for_Summer_Saver_Program_for__VPN_with_Option_1,Initiative7_Annual_Equivalent_Savings_available_from_Commencement_of_a_VPN_Summer_Saver_Program_for_Option_1,0)*(1+'Benefit Input Pars'!$B$45*Option2_scale)</f>
        <v>16.200000000000003</v>
      </c>
      <c r="W59" s="7">
        <f>IF(W5&gt;=Initiative7_Year_when_Flexible_Grid_Network_available_for_Summer_Saver_Program_for__VPN_with_Option_1,Initiative7_Annual_Equivalent_Savings_available_from_Commencement_of_a_VPN_Summer_Saver_Program_for_Option_1,0)*(1+'Benefit Input Pars'!$B$45*Option2_scale)</f>
        <v>16.200000000000003</v>
      </c>
      <c r="X59" s="7">
        <f>IF(X5&gt;=Initiative7_Year_when_Flexible_Grid_Network_available_for_Summer_Saver_Program_for__VPN_with_Option_1,Initiative7_Annual_Equivalent_Savings_available_from_Commencement_of_a_VPN_Summer_Saver_Program_for_Option_1,0)*(1+'Benefit Input Pars'!$B$45*Option2_scale)</f>
        <v>16.200000000000003</v>
      </c>
      <c r="Y59" s="7">
        <f>IF(Y5&gt;=Initiative7_Year_when_Flexible_Grid_Network_available_for_Summer_Saver_Program_for__VPN_with_Option_1,Initiative7_Annual_Equivalent_Savings_available_from_Commencement_of_a_VPN_Summer_Saver_Program_for_Option_1,0)*(1+'Benefit Input Pars'!$B$45*Option2_scale)</f>
        <v>16.200000000000003</v>
      </c>
    </row>
    <row r="60" spans="1:33" s="51" customFormat="1" ht="15.75" x14ac:dyDescent="0.25">
      <c r="A60" s="156" t="s">
        <v>271</v>
      </c>
      <c r="B60" s="91" t="s">
        <v>7</v>
      </c>
      <c r="C60" s="202" t="s">
        <v>9</v>
      </c>
      <c r="D60" s="206">
        <f>SUMPRODUCT(F60:Y60,F$6:Y$6)</f>
        <v>14.341788457320792</v>
      </c>
      <c r="E60" s="204">
        <f>SUM(F60:Y60)</f>
        <v>16.200000000000003</v>
      </c>
      <c r="F60" s="205">
        <f>IF(F5&gt;=(Initiative7_Year_when_Flexible_Grid_Network_available_for_Summer_Saver_Program_for__VPN_with_Option_1+'Benefit Input Pars'!$B$44),IF(SUM('Benefit Calcs'!E$19:$F19)&lt;('Benefit Input Pars'!$B$43*(1+'Benefit Input Pars'!$B$45)),Initiative7_Annual_Equivalent_Savings_available_from_Commencement_of_a_VPN_Summer_Saver_Program_for_Option_1,0),0)*(1+'Benefit Input Pars'!$B$45)*IF((F5-Initiative7_Year_when_Flexible_Grid_Network_available_for_Summer_Saver_Program_for__VPN_with_Option_1-'Benefit Input Pars'!$B$44)&lt;'Benefit Input Pars'!$B$46,(1/'Benefit Input Pars'!$B$46),0)</f>
        <v>0</v>
      </c>
      <c r="G60" s="205">
        <f>IF(G5&gt;=(Initiative7_Year_when_Flexible_Grid_Network_available_for_Summer_Saver_Program_for__VPN_with_Option_1+'Benefit Input Pars'!$B$44),IF(SUM('Benefit Calcs'!$F$19:F19)&lt;('Benefit Input Pars'!$B$43*(1+'Benefit Input Pars'!$B$45)),Initiative7_Annual_Equivalent_Savings_available_from_Commencement_of_a_VPN_Summer_Saver_Program_for_Option_1,0),0)*(1+'Benefit Input Pars'!$B$45)*IF((G5-Initiative7_Year_when_Flexible_Grid_Network_available_for_Summer_Saver_Program_for__VPN_with_Option_1-'Benefit Input Pars'!$B$44)&lt;'Benefit Input Pars'!$B$46,(1/'Benefit Input Pars'!$B$46),0)</f>
        <v>0</v>
      </c>
      <c r="H60" s="205">
        <f>IF(H5&gt;=(Initiative7_Year_when_Flexible_Grid_Network_available_for_Summer_Saver_Program_for__VPN_with_Option_1+'Benefit Input Pars'!$B$44),IF(SUM('Benefit Calcs'!$F$19:G19)&lt;('Benefit Input Pars'!$B$43*(1+'Benefit Input Pars'!$B$45)),Initiative7_Annual_Equivalent_Savings_available_from_Commencement_of_a_VPN_Summer_Saver_Program_for_Option_1,0),0)*(1+'Benefit Input Pars'!$B$45)*IF((H5-Initiative7_Year_when_Flexible_Grid_Network_available_for_Summer_Saver_Program_for__VPN_with_Option_1-'Benefit Input Pars'!$B$44)&lt;'Benefit Input Pars'!$B$46,(1/'Benefit Input Pars'!$B$46),0)</f>
        <v>0</v>
      </c>
      <c r="I60" s="205">
        <f>IF(I5&gt;=(Initiative7_Year_when_Flexible_Grid_Network_available_for_Summer_Saver_Program_for__VPN_with_Option_1+'Benefit Input Pars'!$B$44),IF(SUM('Benefit Calcs'!$F$19:H19)&lt;('Benefit Input Pars'!$B$43*(1+'Benefit Input Pars'!$B$45)),Initiative7_Annual_Equivalent_Savings_available_from_Commencement_of_a_VPN_Summer_Saver_Program_for_Option_1,0),0)*(1+'Benefit Input Pars'!$B$45)*IF((I5-Initiative7_Year_when_Flexible_Grid_Network_available_for_Summer_Saver_Program_for__VPN_with_Option_1-'Benefit Input Pars'!$B$44)&lt;'Benefit Input Pars'!$B$46,(1/'Benefit Input Pars'!$B$46),0)</f>
        <v>5.4</v>
      </c>
      <c r="J60" s="205">
        <f>IF(J5&gt;=(Initiative7_Year_when_Flexible_Grid_Network_available_for_Summer_Saver_Program_for__VPN_with_Option_1+'Benefit Input Pars'!$B$44),IF(SUM('Benefit Calcs'!$F$19:I19)&lt;('Benefit Input Pars'!$B$43*(1+'Benefit Input Pars'!$B$45)),Initiative7_Annual_Equivalent_Savings_available_from_Commencement_of_a_VPN_Summer_Saver_Program_for_Option_1,0),0)*(1+'Benefit Input Pars'!$B$45)*IF((J5-Initiative7_Year_when_Flexible_Grid_Network_available_for_Summer_Saver_Program_for__VPN_with_Option_1-'Benefit Input Pars'!$B$44)&lt;'Benefit Input Pars'!$B$46,(1/'Benefit Input Pars'!$B$46),0)</f>
        <v>5.4</v>
      </c>
      <c r="K60" s="205">
        <f>IF(K5&gt;=(Initiative7_Year_when_Flexible_Grid_Network_available_for_Summer_Saver_Program_for__VPN_with_Option_1+'Benefit Input Pars'!$B$44),IF(SUM('Benefit Calcs'!$F$19:J19)&lt;('Benefit Input Pars'!$B$43*(1+'Benefit Input Pars'!$B$45)),Initiative7_Annual_Equivalent_Savings_available_from_Commencement_of_a_VPN_Summer_Saver_Program_for_Option_1,0),0)*(1+'Benefit Input Pars'!$B$45)*IF((K5-Initiative7_Year_when_Flexible_Grid_Network_available_for_Summer_Saver_Program_for__VPN_with_Option_1-'Benefit Input Pars'!$B$44)&lt;'Benefit Input Pars'!$B$46,(1/'Benefit Input Pars'!$B$46),0)</f>
        <v>5.4</v>
      </c>
      <c r="L60" s="205">
        <f>IF(L5&gt;=(Initiative7_Year_when_Flexible_Grid_Network_available_for_Summer_Saver_Program_for__VPN_with_Option_1+'Benefit Input Pars'!$B$44),IF(SUM('Benefit Calcs'!$F$19:K19)&lt;('Benefit Input Pars'!$B$43*(1+'Benefit Input Pars'!$B$45)),Initiative7_Annual_Equivalent_Savings_available_from_Commencement_of_a_VPN_Summer_Saver_Program_for_Option_1,0),0)*(1+'Benefit Input Pars'!$B$45)*IF((L5-Initiative7_Year_when_Flexible_Grid_Network_available_for_Summer_Saver_Program_for__VPN_with_Option_1-'Benefit Input Pars'!$B$44)&lt;'Benefit Input Pars'!$B$46,(1/'Benefit Input Pars'!$B$46),0)</f>
        <v>0</v>
      </c>
      <c r="M60" s="205">
        <f>IF(M5&gt;=(Initiative7_Year_when_Flexible_Grid_Network_available_for_Summer_Saver_Program_for__VPN_with_Option_1+'Benefit Input Pars'!$B$44),IF(SUM('Benefit Calcs'!$F$19:L19)&lt;('Benefit Input Pars'!$B$43*(1+'Benefit Input Pars'!$B$45)),Initiative7_Annual_Equivalent_Savings_available_from_Commencement_of_a_VPN_Summer_Saver_Program_for_Option_1,0),0)*(1+'Benefit Input Pars'!$B$45)*IF((M5-Initiative7_Year_when_Flexible_Grid_Network_available_for_Summer_Saver_Program_for__VPN_with_Option_1-'Benefit Input Pars'!$B$44)&lt;'Benefit Input Pars'!$B$46,(1/'Benefit Input Pars'!$B$46),0)</f>
        <v>0</v>
      </c>
      <c r="N60" s="205">
        <f>IF(N5&gt;=(Initiative7_Year_when_Flexible_Grid_Network_available_for_Summer_Saver_Program_for__VPN_with_Option_1+'Benefit Input Pars'!$B$44),IF(SUM('Benefit Calcs'!$F$19:M19)&lt;('Benefit Input Pars'!$B$43*(1+'Benefit Input Pars'!$B$45)),Initiative7_Annual_Equivalent_Savings_available_from_Commencement_of_a_VPN_Summer_Saver_Program_for_Option_1,0),0)*(1+'Benefit Input Pars'!$B$45)*IF((N5-Initiative7_Year_when_Flexible_Grid_Network_available_for_Summer_Saver_Program_for__VPN_with_Option_1-'Benefit Input Pars'!$B$44)&lt;'Benefit Input Pars'!$B$46,(1/'Benefit Input Pars'!$B$46),0)</f>
        <v>0</v>
      </c>
      <c r="O60" s="205">
        <f>IF(O5&gt;=(Initiative7_Year_when_Flexible_Grid_Network_available_for_Summer_Saver_Program_for__VPN_with_Option_1+'Benefit Input Pars'!$B$44),IF(SUM('Benefit Calcs'!$F$19:N19)&lt;('Benefit Input Pars'!$B$43*(1+'Benefit Input Pars'!$B$45)),Initiative7_Annual_Equivalent_Savings_available_from_Commencement_of_a_VPN_Summer_Saver_Program_for_Option_1,0),0)*(1+'Benefit Input Pars'!$B$45)*IF((O5-Initiative7_Year_when_Flexible_Grid_Network_available_for_Summer_Saver_Program_for__VPN_with_Option_1-'Benefit Input Pars'!$B$44)&lt;'Benefit Input Pars'!$B$46,(1/'Benefit Input Pars'!$B$46),0)</f>
        <v>0</v>
      </c>
      <c r="P60" s="205">
        <f>IF(P5&gt;=(Initiative7_Year_when_Flexible_Grid_Network_available_for_Summer_Saver_Program_for__VPN_with_Option_1+'Benefit Input Pars'!$B$44),IF(SUM('Benefit Calcs'!$F$19:O19)&lt;('Benefit Input Pars'!$B$43*(1+'Benefit Input Pars'!$B$45)),Initiative7_Annual_Equivalent_Savings_available_from_Commencement_of_a_VPN_Summer_Saver_Program_for_Option_1,0),0)*(1+'Benefit Input Pars'!$B$45)*IF((P5-Initiative7_Year_when_Flexible_Grid_Network_available_for_Summer_Saver_Program_for__VPN_with_Option_1-'Benefit Input Pars'!$B$44)&lt;'Benefit Input Pars'!$B$46,(1/'Benefit Input Pars'!$B$46),0)</f>
        <v>0</v>
      </c>
      <c r="Q60" s="205">
        <f>IF(Q5&gt;=(Initiative7_Year_when_Flexible_Grid_Network_available_for_Summer_Saver_Program_for__VPN_with_Option_1+'Benefit Input Pars'!$B$44),IF(SUM('Benefit Calcs'!$F$19:P19)&lt;('Benefit Input Pars'!$B$43*(1+'Benefit Input Pars'!$B$45)),Initiative7_Annual_Equivalent_Savings_available_from_Commencement_of_a_VPN_Summer_Saver_Program_for_Option_1,0),0)*(1+'Benefit Input Pars'!$B$45)*IF((Q5-Initiative7_Year_when_Flexible_Grid_Network_available_for_Summer_Saver_Program_for__VPN_with_Option_1-'Benefit Input Pars'!$B$44)&lt;'Benefit Input Pars'!$B$46,(1/'Benefit Input Pars'!$B$46),0)</f>
        <v>0</v>
      </c>
      <c r="R60" s="205">
        <f>IF(R5&gt;=(Initiative7_Year_when_Flexible_Grid_Network_available_for_Summer_Saver_Program_for__VPN_with_Option_1+'Benefit Input Pars'!$B$44),IF(SUM('Benefit Calcs'!$F$19:Q19)&lt;('Benefit Input Pars'!$B$43*(1+'Benefit Input Pars'!$B$45)),Initiative7_Annual_Equivalent_Savings_available_from_Commencement_of_a_VPN_Summer_Saver_Program_for_Option_1,0),0)*(1+'Benefit Input Pars'!$B$45)*IF((R5-Initiative7_Year_when_Flexible_Grid_Network_available_for_Summer_Saver_Program_for__VPN_with_Option_1-'Benefit Input Pars'!$B$44)&lt;'Benefit Input Pars'!$B$46,(1/'Benefit Input Pars'!$B$46),0)</f>
        <v>0</v>
      </c>
      <c r="S60" s="205">
        <f>IF(S5&gt;=(Initiative7_Year_when_Flexible_Grid_Network_available_for_Summer_Saver_Program_for__VPN_with_Option_1+'Benefit Input Pars'!$B$44),IF(SUM('Benefit Calcs'!$F$19:R19)&lt;('Benefit Input Pars'!$B$43*(1+'Benefit Input Pars'!$B$45)),Initiative7_Annual_Equivalent_Savings_available_from_Commencement_of_a_VPN_Summer_Saver_Program_for_Option_1,0),0)*(1+'Benefit Input Pars'!$B$45)*IF((S5-Initiative7_Year_when_Flexible_Grid_Network_available_for_Summer_Saver_Program_for__VPN_with_Option_1-'Benefit Input Pars'!$B$44)&lt;'Benefit Input Pars'!$B$46,(1/'Benefit Input Pars'!$B$46),0)</f>
        <v>0</v>
      </c>
      <c r="T60" s="205">
        <f>IF(T5&gt;=(Initiative7_Year_when_Flexible_Grid_Network_available_for_Summer_Saver_Program_for__VPN_with_Option_1+'Benefit Input Pars'!$B$44),IF(SUM('Benefit Calcs'!$F$19:S19)&lt;('Benefit Input Pars'!$B$43*(1+'Benefit Input Pars'!$B$45)),Initiative7_Annual_Equivalent_Savings_available_from_Commencement_of_a_VPN_Summer_Saver_Program_for_Option_1,0),0)*(1+'Benefit Input Pars'!$B$45)*IF((T5-Initiative7_Year_when_Flexible_Grid_Network_available_for_Summer_Saver_Program_for__VPN_with_Option_1-'Benefit Input Pars'!$B$44)&lt;'Benefit Input Pars'!$B$46,(1/'Benefit Input Pars'!$B$46),0)</f>
        <v>0</v>
      </c>
      <c r="U60" s="205">
        <f>IF(U5&gt;=(Initiative7_Year_when_Flexible_Grid_Network_available_for_Summer_Saver_Program_for__VPN_with_Option_1+'Benefit Input Pars'!$B$44),IF(SUM('Benefit Calcs'!$F$19:T19)&lt;('Benefit Input Pars'!$B$43*(1+'Benefit Input Pars'!$B$45)),Initiative7_Annual_Equivalent_Savings_available_from_Commencement_of_a_VPN_Summer_Saver_Program_for_Option_1,0),0)*(1+'Benefit Input Pars'!$B$45)*IF((U5-Initiative7_Year_when_Flexible_Grid_Network_available_for_Summer_Saver_Program_for__VPN_with_Option_1-'Benefit Input Pars'!$B$44)&lt;'Benefit Input Pars'!$B$46,(1/'Benefit Input Pars'!$B$46),0)</f>
        <v>0</v>
      </c>
      <c r="V60" s="205">
        <f>IF(V5&gt;=(Initiative7_Year_when_Flexible_Grid_Network_available_for_Summer_Saver_Program_for__VPN_with_Option_1+'Benefit Input Pars'!$B$44),IF(SUM('Benefit Calcs'!$F$19:U19)&lt;('Benefit Input Pars'!$B$43*(1+'Benefit Input Pars'!$B$45)),Initiative7_Annual_Equivalent_Savings_available_from_Commencement_of_a_VPN_Summer_Saver_Program_for_Option_1,0),0)*(1+'Benefit Input Pars'!$B$45)*IF((V5-Initiative7_Year_when_Flexible_Grid_Network_available_for_Summer_Saver_Program_for__VPN_with_Option_1-'Benefit Input Pars'!$B$44)&lt;'Benefit Input Pars'!$B$46,(1/'Benefit Input Pars'!$B$46),0)</f>
        <v>0</v>
      </c>
      <c r="W60" s="205">
        <f>IF(W5&gt;=(Initiative7_Year_when_Flexible_Grid_Network_available_for_Summer_Saver_Program_for__VPN_with_Option_1+'Benefit Input Pars'!$B$44),IF(SUM('Benefit Calcs'!$F$19:V19)&lt;('Benefit Input Pars'!$B$43*(1+'Benefit Input Pars'!$B$45)),Initiative7_Annual_Equivalent_Savings_available_from_Commencement_of_a_VPN_Summer_Saver_Program_for_Option_1,0),0)*(1+'Benefit Input Pars'!$B$45)*IF((W5-Initiative7_Year_when_Flexible_Grid_Network_available_for_Summer_Saver_Program_for__VPN_with_Option_1-'Benefit Input Pars'!$B$44)&lt;'Benefit Input Pars'!$B$46,(1/'Benefit Input Pars'!$B$46),0)</f>
        <v>0</v>
      </c>
      <c r="X60" s="205">
        <f>IF(X5&gt;=(Initiative7_Year_when_Flexible_Grid_Network_available_for_Summer_Saver_Program_for__VPN_with_Option_1+'Benefit Input Pars'!$B$44),IF(SUM('Benefit Calcs'!$F$19:W19)&lt;('Benefit Input Pars'!$B$43*(1+'Benefit Input Pars'!$B$45)),Initiative7_Annual_Equivalent_Savings_available_from_Commencement_of_a_VPN_Summer_Saver_Program_for_Option_1,0),0)*(1+'Benefit Input Pars'!$B$45)*IF((X5-Initiative7_Year_when_Flexible_Grid_Network_available_for_Summer_Saver_Program_for__VPN_with_Option_1-'Benefit Input Pars'!$B$44)&lt;'Benefit Input Pars'!$B$46,(1/'Benefit Input Pars'!$B$46),0)</f>
        <v>0</v>
      </c>
      <c r="Y60" s="205">
        <f>IF(Y5&gt;=(Initiative7_Year_when_Flexible_Grid_Network_available_for_Summer_Saver_Program_for__VPN_with_Option_1+'Benefit Input Pars'!$B$44),IF(SUM('Benefit Calcs'!$F$19:X19)&lt;('Benefit Input Pars'!$B$43*(1+'Benefit Input Pars'!$B$45)),Initiative7_Annual_Equivalent_Savings_available_from_Commencement_of_a_VPN_Summer_Saver_Program_for_Option_1,0),0)*(1+'Benefit Input Pars'!$B$45)*IF((Y5-Initiative7_Year_when_Flexible_Grid_Network_available_for_Summer_Saver_Program_for__VPN_with_Option_1-'Benefit Input Pars'!$B$44)&lt;'Benefit Input Pars'!$B$46,(1/'Benefit Input Pars'!$B$46),0)</f>
        <v>0</v>
      </c>
    </row>
    <row r="61" spans="1:33" x14ac:dyDescent="0.25">
      <c r="A61" s="109"/>
      <c r="E61" s="60"/>
    </row>
    <row r="62" spans="1:33" x14ac:dyDescent="0.25">
      <c r="A62" s="200" t="str">
        <f>A21</f>
        <v>Benefit Category 3 - Electric Vehicle (EV) Charging Optimisation</v>
      </c>
      <c r="E62" s="60"/>
      <c r="F62" s="7"/>
      <c r="G62" s="7"/>
      <c r="H62" s="7"/>
      <c r="I62" s="7"/>
      <c r="J62" s="7"/>
      <c r="K62" s="7"/>
      <c r="L62" s="7"/>
      <c r="M62" s="7"/>
      <c r="N62" s="7"/>
      <c r="O62" s="7"/>
      <c r="P62" s="7"/>
      <c r="Q62" s="7"/>
      <c r="R62" s="7"/>
      <c r="S62" s="7"/>
      <c r="T62" s="7"/>
      <c r="U62" s="7"/>
      <c r="V62" s="7"/>
      <c r="W62" s="7"/>
      <c r="X62" s="7"/>
      <c r="Y62" s="7"/>
    </row>
    <row r="63" spans="1:33" x14ac:dyDescent="0.25">
      <c r="A63" s="109" t="s">
        <v>230</v>
      </c>
      <c r="B63" t="s">
        <v>167</v>
      </c>
      <c r="E63" s="60"/>
      <c r="F63" s="29">
        <f>F68/'Time Series Data Inputs'!D22+F73/'Time Series Data Inputs'!D22+F81/'Time Series Data Inputs'!D22</f>
        <v>0</v>
      </c>
      <c r="G63" s="29">
        <f>G68/'Time Series Data Inputs'!E22+G73/'Time Series Data Inputs'!E22+G81/'Time Series Data Inputs'!E22</f>
        <v>1120.7822999545151</v>
      </c>
      <c r="H63" s="29">
        <f>H68/'Time Series Data Inputs'!F22+H73/'Time Series Data Inputs'!F22+H81/'Time Series Data Inputs'!F22</f>
        <v>1099.9346602284143</v>
      </c>
      <c r="I63" s="29">
        <f>I68/'Time Series Data Inputs'!G22+I73/'Time Series Data Inputs'!G22+I81/'Time Series Data Inputs'!G22</f>
        <v>1834.6317725806489</v>
      </c>
      <c r="J63" s="29">
        <f>J68/'Time Series Data Inputs'!H22+J73/'Time Series Data Inputs'!H22+J81/'Time Series Data Inputs'!H22</f>
        <v>2757.6436158902279</v>
      </c>
      <c r="K63" s="29">
        <f>K68/'Time Series Data Inputs'!I22+K73/'Time Series Data Inputs'!I22+K81/'Time Series Data Inputs'!I22</f>
        <v>4087.0178181199371</v>
      </c>
      <c r="L63" s="29">
        <f>L68/'Time Series Data Inputs'!J22+L73/'Time Series Data Inputs'!J22+L81/'Time Series Data Inputs'!J22</f>
        <v>5802.3759884349865</v>
      </c>
      <c r="M63" s="29">
        <f>M68/'Time Series Data Inputs'!K22+M73/'Time Series Data Inputs'!K22+M81/'Time Series Data Inputs'!K22</f>
        <v>7309.3040068604851</v>
      </c>
      <c r="N63" s="29">
        <f>N68/'Time Series Data Inputs'!L22+N73/'Time Series Data Inputs'!L22+N81/'Time Series Data Inputs'!L22</f>
        <v>9556.746557908511</v>
      </c>
      <c r="O63" s="29">
        <f>O68/'Time Series Data Inputs'!M22+O73/'Time Series Data Inputs'!M22+O81/'Time Series Data Inputs'!M22</f>
        <v>11017.002719986458</v>
      </c>
      <c r="P63" s="29">
        <f>P68/'Time Series Data Inputs'!N22+P73/'Time Series Data Inputs'!N22+P81/'Time Series Data Inputs'!N22</f>
        <v>13986.00786505325</v>
      </c>
      <c r="Q63" s="29">
        <f>Q68/'Time Series Data Inputs'!O22+Q73/'Time Series Data Inputs'!O22+Q81/'Time Series Data Inputs'!O22</f>
        <v>16008.336954693084</v>
      </c>
      <c r="R63" s="29">
        <f>R68/'Time Series Data Inputs'!P22+R73/'Time Series Data Inputs'!P22+R81/'Time Series Data Inputs'!P22</f>
        <v>16902.67863890509</v>
      </c>
      <c r="S63" s="29">
        <f>S68/'Time Series Data Inputs'!Q22+S73/'Time Series Data Inputs'!Q22+S81/'Time Series Data Inputs'!Q22</f>
        <v>20781.31839808376</v>
      </c>
      <c r="T63" s="29">
        <f>T68/'Time Series Data Inputs'!R22+T73/'Time Series Data Inputs'!R22+T81/'Time Series Data Inputs'!R22</f>
        <v>23343.360344378943</v>
      </c>
      <c r="U63" s="29">
        <f>U68/'Time Series Data Inputs'!S22+U73/'Time Series Data Inputs'!S22+U81/'Time Series Data Inputs'!S22</f>
        <v>35094.017891298368</v>
      </c>
      <c r="V63" s="29">
        <f>V68/'Time Series Data Inputs'!T22+V73/'Time Series Data Inputs'!T22+V81/'Time Series Data Inputs'!T22</f>
        <v>28972.391959142326</v>
      </c>
      <c r="W63" s="29">
        <f>W68/'Time Series Data Inputs'!U22+W73/'Time Series Data Inputs'!U22+W81/'Time Series Data Inputs'!U22</f>
        <v>29759.773879546581</v>
      </c>
      <c r="X63" s="29">
        <f>X68/'Time Series Data Inputs'!V22+X73/'Time Series Data Inputs'!V22+X81/'Time Series Data Inputs'!V22</f>
        <v>27293.247145545203</v>
      </c>
      <c r="Y63" s="29">
        <f>Y68/'Time Series Data Inputs'!W22+Y73/'Time Series Data Inputs'!W22+Y81/'Time Series Data Inputs'!W22</f>
        <v>24791.821267773692</v>
      </c>
    </row>
    <row r="64" spans="1:33" x14ac:dyDescent="0.25">
      <c r="A64" s="109" t="s">
        <v>233</v>
      </c>
      <c r="B64" t="s">
        <v>167</v>
      </c>
      <c r="E64" s="60"/>
      <c r="F64" s="29">
        <f>SUM($F63:F$63)</f>
        <v>0</v>
      </c>
      <c r="G64" s="29">
        <f>SUM($F63:G$63)</f>
        <v>1120.7822999545151</v>
      </c>
      <c r="H64" s="29">
        <f>SUM($F63:H$63)</f>
        <v>2220.7169601829291</v>
      </c>
      <c r="I64" s="29">
        <f>SUM($F63:I$63)</f>
        <v>4055.348732763578</v>
      </c>
      <c r="J64" s="29">
        <f>SUM($F63:J$63)</f>
        <v>6812.9923486538064</v>
      </c>
      <c r="K64" s="29">
        <f>SUM($F63:K$63)</f>
        <v>10900.010166773744</v>
      </c>
      <c r="L64" s="29">
        <f>SUM($F63:L$63)</f>
        <v>16702.386155208729</v>
      </c>
      <c r="M64" s="29">
        <f>SUM($F63:M$63)</f>
        <v>24011.690162069215</v>
      </c>
      <c r="N64" s="29">
        <f>SUM($F63:N$63)</f>
        <v>33568.436719977726</v>
      </c>
      <c r="O64" s="29">
        <f>SUM($F63:O$63)</f>
        <v>44585.439439964182</v>
      </c>
      <c r="P64" s="29">
        <f>SUM($F63:P$63)</f>
        <v>58571.447305017435</v>
      </c>
      <c r="Q64" s="29">
        <f>SUM($F63:Q$63)</f>
        <v>74579.784259710519</v>
      </c>
      <c r="R64" s="29">
        <f>SUM($F63:R$63)</f>
        <v>91482.462898615602</v>
      </c>
      <c r="S64" s="29">
        <f>SUM($F63:S$63)</f>
        <v>112263.78129669937</v>
      </c>
      <c r="T64" s="29">
        <f>SUM($F63:T$63)</f>
        <v>135607.14164107831</v>
      </c>
      <c r="U64" s="29">
        <f>SUM($F63:U$63)</f>
        <v>170701.15953237668</v>
      </c>
      <c r="V64" s="29">
        <f>SUM($F63:V$63)</f>
        <v>199673.551491519</v>
      </c>
      <c r="W64" s="29">
        <f>SUM($F63:W$63)</f>
        <v>229433.32537106558</v>
      </c>
      <c r="X64" s="29">
        <f>SUM($F63:X$63)</f>
        <v>256726.57251661079</v>
      </c>
      <c r="Y64" s="29">
        <f>SUM($F63:Y$63)</f>
        <v>281518.39378438448</v>
      </c>
    </row>
    <row r="65" spans="1:25" x14ac:dyDescent="0.25">
      <c r="A65" s="109" t="s">
        <v>162</v>
      </c>
      <c r="B65" t="s">
        <v>11</v>
      </c>
      <c r="E65" s="60"/>
      <c r="F65" s="29">
        <f>'Time Series Data Inputs'!D7*'Time Series Data Inputs'!D19</f>
        <v>1325.7349951992378</v>
      </c>
      <c r="G65" s="29">
        <f>'Time Series Data Inputs'!E7*'Time Series Data Inputs'!E19</f>
        <v>2114.5415513028724</v>
      </c>
      <c r="H65" s="29">
        <f>'Time Series Data Inputs'!F7*'Time Series Data Inputs'!F19</f>
        <v>3801.2813890470011</v>
      </c>
      <c r="I65" s="29">
        <f>'Time Series Data Inputs'!G7*'Time Series Data Inputs'!G19</f>
        <v>6738.7946988743079</v>
      </c>
      <c r="J65" s="29">
        <f>'Time Series Data Inputs'!H7*'Time Series Data Inputs'!H19</f>
        <v>10932.956150045575</v>
      </c>
      <c r="K65" s="29">
        <f>'Time Series Data Inputs'!I7*'Time Series Data Inputs'!I19</f>
        <v>16903.085375744511</v>
      </c>
      <c r="L65" s="29">
        <f>'Time Series Data Inputs'!J7*'Time Series Data Inputs'!J19</f>
        <v>25146.187337836</v>
      </c>
      <c r="M65" s="29">
        <f>'Time Series Data Inputs'!K7*'Time Series Data Inputs'!K19</f>
        <v>35090.310342791883</v>
      </c>
      <c r="N65" s="29">
        <f>'Time Series Data Inputs'!L7*'Time Series Data Inputs'!L19</f>
        <v>47708.682897766841</v>
      </c>
      <c r="O65" s="29">
        <f>'Time Series Data Inputs'!M7*'Time Series Data Inputs'!M19</f>
        <v>61592.254219380397</v>
      </c>
      <c r="P65" s="29">
        <f>'Time Series Data Inputs'!N7*'Time Series Data Inputs'!N19</f>
        <v>78936.848290235168</v>
      </c>
      <c r="Q65" s="29">
        <f>'Time Series Data Inputs'!O7*'Time Series Data Inputs'!O19</f>
        <v>98468.349281086543</v>
      </c>
      <c r="R65" s="29">
        <f>'Time Series Data Inputs'!P7*'Time Series Data Inputs'!P19</f>
        <v>118413.02310736083</v>
      </c>
      <c r="S65" s="29">
        <f>'Time Series Data Inputs'!Q7*'Time Series Data Inputs'!Q19</f>
        <v>142517.59116896981</v>
      </c>
      <c r="T65" s="29">
        <f>'Time Series Data Inputs'!R7*'Time Series Data Inputs'!R19</f>
        <v>169125.73764370539</v>
      </c>
      <c r="U65" s="29">
        <f>'Time Series Data Inputs'!S7*'Time Series Data Inputs'!S19</f>
        <v>208424.13682992489</v>
      </c>
      <c r="V65" s="29">
        <f>'Time Series Data Inputs'!T7*'Time Series Data Inputs'!T19</f>
        <v>239705.38144099625</v>
      </c>
      <c r="W65" s="29">
        <f>'Time Series Data Inputs'!U7*'Time Series Data Inputs'!U19</f>
        <v>271239.89527155552</v>
      </c>
      <c r="X65" s="29">
        <f>'Time Series Data Inputs'!V7*'Time Series Data Inputs'!V19</f>
        <v>299613.39792574191</v>
      </c>
      <c r="Y65" s="29">
        <f>'Time Series Data Inputs'!W7*'Time Series Data Inputs'!W19</f>
        <v>324889.24594025227</v>
      </c>
    </row>
    <row r="66" spans="1:25" x14ac:dyDescent="0.25">
      <c r="A66" s="109" t="s">
        <v>307</v>
      </c>
      <c r="B66" t="s">
        <v>11</v>
      </c>
      <c r="E66" s="60"/>
      <c r="F66" s="29">
        <f>IF(F5&gt;=Initiative8_Year_when_Option_1_Flexible_Charging_for_Residential_Evs_available,'Time Series Data Inputs'!D19*'Time Series Data Inputs'!D7*(1-Initiative8_Percentage_of_Evs_charging_at_peak_with_Option_1_Flexible_Grid_Control),F65)</f>
        <v>1325.7349951992378</v>
      </c>
      <c r="G66" s="29">
        <f>IF(G5&gt;=Initiative8_Year_when_Option_1_Flexible_Charging_for_Residential_Evs_available,'Time Series Data Inputs'!E19*'Time Series Data Inputs'!E7*(1-Initiative8_Percentage_of_Evs_charging_at_peak_with_Option_1_Flexible_Grid_Control),G65)</f>
        <v>1480.1790859120106</v>
      </c>
      <c r="H66" s="29">
        <f>IF(H5&gt;=Initiative8_Year_when_Option_1_Flexible_Charging_for_Residential_Evs_available,'Time Series Data Inputs'!F19*'Time Series Data Inputs'!F7*(1-Initiative8_Percentage_of_Evs_charging_at_peak_with_Option_1_Flexible_Grid_Control),H65)</f>
        <v>2660.8969723329005</v>
      </c>
      <c r="I66" s="29">
        <f>IF(I5&gt;=Initiative8_Year_when_Option_1_Flexible_Charging_for_Residential_Evs_available,'Time Series Data Inputs'!G19*'Time Series Data Inputs'!G7*(1-Initiative8_Percentage_of_Evs_charging_at_peak_with_Option_1_Flexible_Grid_Control),I65)</f>
        <v>4717.1562892120155</v>
      </c>
      <c r="J66" s="29">
        <f>IF(J5&gt;=Initiative8_Year_when_Option_1_Flexible_Charging_for_Residential_Evs_available,'Time Series Data Inputs'!H19*'Time Series Data Inputs'!H7*(1-Initiative8_Percentage_of_Evs_charging_at_peak_with_Option_1_Flexible_Grid_Control),J65)</f>
        <v>7653.0693050319014</v>
      </c>
      <c r="K66" s="29">
        <f>IF(K5&gt;=Initiative8_Year_when_Option_1_Flexible_Charging_for_Residential_Evs_available,'Time Series Data Inputs'!I19*'Time Series Data Inputs'!I7*(1-Initiative8_Percentage_of_Evs_charging_at_peak_with_Option_1_Flexible_Grid_Control),K65)</f>
        <v>11832.159763021156</v>
      </c>
      <c r="L66" s="29">
        <f>IF(L5&gt;=Initiative8_Year_when_Option_1_Flexible_Charging_for_Residential_Evs_available,'Time Series Data Inputs'!J19*'Time Series Data Inputs'!J7*(1-Initiative8_Percentage_of_Evs_charging_at_peak_with_Option_1_Flexible_Grid_Control),L65)</f>
        <v>17602.331136485198</v>
      </c>
      <c r="M66" s="29">
        <f>IF(M5&gt;=Initiative8_Year_when_Option_1_Flexible_Charging_for_Residential_Evs_available,'Time Series Data Inputs'!K19*'Time Series Data Inputs'!K7*(1-Initiative8_Percentage_of_Evs_charging_at_peak_with_Option_1_Flexible_Grid_Control),M65)</f>
        <v>24563.217239954316</v>
      </c>
      <c r="N66" s="29">
        <f>IF(N5&gt;=Initiative8_Year_when_Option_1_Flexible_Charging_for_Residential_Evs_available,'Time Series Data Inputs'!L19*'Time Series Data Inputs'!L7*(1-Initiative8_Percentage_of_Evs_charging_at_peak_with_Option_1_Flexible_Grid_Control),N65)</f>
        <v>33396.078028436787</v>
      </c>
      <c r="O66" s="29">
        <f>IF(O5&gt;=Initiative8_Year_when_Option_1_Flexible_Charging_for_Residential_Evs_available,'Time Series Data Inputs'!M19*'Time Series Data Inputs'!M7*(1-Initiative8_Percentage_of_Evs_charging_at_peak_with_Option_1_Flexible_Grid_Control),O65)</f>
        <v>43114.577953566273</v>
      </c>
      <c r="P66" s="29">
        <f>IF(P5&gt;=Initiative8_Year_when_Option_1_Flexible_Charging_for_Residential_Evs_available,'Time Series Data Inputs'!N19*'Time Series Data Inputs'!N7*(1-Initiative8_Percentage_of_Evs_charging_at_peak_with_Option_1_Flexible_Grid_Control),P65)</f>
        <v>55255.793803164612</v>
      </c>
      <c r="Q66" s="29">
        <f>IF(Q5&gt;=Initiative8_Year_when_Option_1_Flexible_Charging_for_Residential_Evs_available,'Time Series Data Inputs'!O19*'Time Series Data Inputs'!O7*(1-Initiative8_Percentage_of_Evs_charging_at_peak_with_Option_1_Flexible_Grid_Control),Q65)</f>
        <v>68927.844496760576</v>
      </c>
      <c r="R66" s="29">
        <f>IF(R5&gt;=Initiative8_Year_when_Option_1_Flexible_Charging_for_Residential_Evs_available,'Time Series Data Inputs'!P19*'Time Series Data Inputs'!P7*(1-Initiative8_Percentage_of_Evs_charging_at_peak_with_Option_1_Flexible_Grid_Control),R65)</f>
        <v>82889.11617515258</v>
      </c>
      <c r="S66" s="29">
        <f>IF(S5&gt;=Initiative8_Year_when_Option_1_Flexible_Charging_for_Residential_Evs_available,'Time Series Data Inputs'!Q19*'Time Series Data Inputs'!Q7*(1-Initiative8_Percentage_of_Evs_charging_at_peak_with_Option_1_Flexible_Grid_Control),S65)</f>
        <v>99762.313818278868</v>
      </c>
      <c r="T66" s="29">
        <f>IF(T5&gt;=Initiative8_Year_when_Option_1_Flexible_Charging_for_Residential_Evs_available,'Time Series Data Inputs'!R19*'Time Series Data Inputs'!R7*(1-Initiative8_Percentage_of_Evs_charging_at_peak_with_Option_1_Flexible_Grid_Control),T65)</f>
        <v>118388.01635059377</v>
      </c>
      <c r="U66" s="29">
        <f>IF(U5&gt;=Initiative8_Year_when_Option_1_Flexible_Charging_for_Residential_Evs_available,'Time Series Data Inputs'!S19*'Time Series Data Inputs'!S7*(1-Initiative8_Percentage_of_Evs_charging_at_peak_with_Option_1_Flexible_Grid_Control),U65)</f>
        <v>145896.89578094741</v>
      </c>
      <c r="V66" s="29">
        <f>IF(V5&gt;=Initiative8_Year_when_Option_1_Flexible_Charging_for_Residential_Evs_available,'Time Series Data Inputs'!T19*'Time Series Data Inputs'!T7*(1-Initiative8_Percentage_of_Evs_charging_at_peak_with_Option_1_Flexible_Grid_Control),V65)</f>
        <v>167793.76700869735</v>
      </c>
      <c r="W66" s="29">
        <f>IF(W5&gt;=Initiative8_Year_when_Option_1_Flexible_Charging_for_Residential_Evs_available,'Time Series Data Inputs'!U19*'Time Series Data Inputs'!U7*(1-Initiative8_Percentage_of_Evs_charging_at_peak_with_Option_1_Flexible_Grid_Control),W65)</f>
        <v>189867.92669008885</v>
      </c>
      <c r="X66" s="29">
        <f>IF(X5&gt;=Initiative8_Year_when_Option_1_Flexible_Charging_for_Residential_Evs_available,'Time Series Data Inputs'!V19*'Time Series Data Inputs'!V7*(1-Initiative8_Percentage_of_Evs_charging_at_peak_with_Option_1_Flexible_Grid_Control),X65)</f>
        <v>209729.37854801933</v>
      </c>
      <c r="Y66" s="29">
        <f>IF(Y5&gt;=Initiative8_Year_when_Option_1_Flexible_Charging_for_Residential_Evs_available,'Time Series Data Inputs'!W19*'Time Series Data Inputs'!W7*(1-Initiative8_Percentage_of_Evs_charging_at_peak_with_Option_1_Flexible_Grid_Control),Y65)</f>
        <v>227422.47215817656</v>
      </c>
    </row>
    <row r="67" spans="1:25" x14ac:dyDescent="0.25">
      <c r="A67" s="109" t="s">
        <v>267</v>
      </c>
      <c r="B67" t="s">
        <v>11</v>
      </c>
      <c r="E67" s="60"/>
      <c r="F67" s="7">
        <f>F65-F66</f>
        <v>0</v>
      </c>
      <c r="G67" s="7">
        <f t="shared" ref="G67:Y67" si="16">G65-G66</f>
        <v>634.36246539086187</v>
      </c>
      <c r="H67" s="29">
        <f t="shared" si="16"/>
        <v>1140.3844167141006</v>
      </c>
      <c r="I67" s="29">
        <f t="shared" si="16"/>
        <v>2021.6384096622924</v>
      </c>
      <c r="J67" s="29">
        <f t="shared" si="16"/>
        <v>3279.8868450136733</v>
      </c>
      <c r="K67" s="29">
        <f t="shared" si="16"/>
        <v>5070.9256127233548</v>
      </c>
      <c r="L67" s="29">
        <f t="shared" si="16"/>
        <v>7543.8562013508017</v>
      </c>
      <c r="M67" s="29">
        <f t="shared" si="16"/>
        <v>10527.093102837567</v>
      </c>
      <c r="N67" s="29">
        <f t="shared" si="16"/>
        <v>14312.604869330054</v>
      </c>
      <c r="O67" s="29">
        <f t="shared" si="16"/>
        <v>18477.676265814123</v>
      </c>
      <c r="P67" s="29">
        <f t="shared" si="16"/>
        <v>23681.054487070556</v>
      </c>
      <c r="Q67" s="29">
        <f t="shared" si="16"/>
        <v>29540.504784325967</v>
      </c>
      <c r="R67" s="29">
        <f t="shared" si="16"/>
        <v>35523.906932208251</v>
      </c>
      <c r="S67" s="29">
        <f t="shared" si="16"/>
        <v>42755.277350690943</v>
      </c>
      <c r="T67" s="29">
        <f t="shared" si="16"/>
        <v>50737.721293111623</v>
      </c>
      <c r="U67" s="29">
        <f t="shared" si="16"/>
        <v>62527.241048977477</v>
      </c>
      <c r="V67" s="29">
        <f t="shared" si="16"/>
        <v>71911.614432298898</v>
      </c>
      <c r="W67" s="29">
        <f t="shared" si="16"/>
        <v>81371.968581466674</v>
      </c>
      <c r="X67" s="29">
        <f t="shared" si="16"/>
        <v>89884.01937772258</v>
      </c>
      <c r="Y67" s="29">
        <f t="shared" si="16"/>
        <v>97466.773782075703</v>
      </c>
    </row>
    <row r="68" spans="1:25" ht="15.75" x14ac:dyDescent="0.25">
      <c r="A68" s="109" t="s">
        <v>187</v>
      </c>
      <c r="B68" t="s">
        <v>57</v>
      </c>
      <c r="C68" s="4"/>
      <c r="D68" s="4"/>
      <c r="E68" s="60"/>
      <c r="F68" s="29">
        <f>'Time Series Data Inputs'!D26</f>
        <v>0</v>
      </c>
      <c r="G68" s="29">
        <f>'Time Series Data Inputs'!E26</f>
        <v>634.36246539086187</v>
      </c>
      <c r="H68" s="29">
        <f>'Time Series Data Inputs'!F26</f>
        <v>506.02195132323868</v>
      </c>
      <c r="I68" s="29">
        <f>'Time Series Data Inputs'!G26</f>
        <v>881.25399294819181</v>
      </c>
      <c r="J68" s="29">
        <f>'Time Series Data Inputs'!H26</f>
        <v>1258.248435351381</v>
      </c>
      <c r="K68" s="29">
        <f>'Time Series Data Inputs'!I26</f>
        <v>1791.0387677096815</v>
      </c>
      <c r="L68" s="29">
        <f>'Time Series Data Inputs'!J26</f>
        <v>2472.9305886274469</v>
      </c>
      <c r="M68" s="29">
        <f>'Time Series Data Inputs'!K26</f>
        <v>2983.2369014867654</v>
      </c>
      <c r="N68" s="29">
        <f>'Time Series Data Inputs'!L26</f>
        <v>3785.5117664924874</v>
      </c>
      <c r="O68" s="29">
        <f>'Time Series Data Inputs'!M26</f>
        <v>4165.0713964840688</v>
      </c>
      <c r="P68" s="29">
        <f>'Time Series Data Inputs'!N26</f>
        <v>5203.3782212564329</v>
      </c>
      <c r="Q68" s="29">
        <f>'Time Series Data Inputs'!O26</f>
        <v>5859.450297255411</v>
      </c>
      <c r="R68" s="29">
        <f>'Time Series Data Inputs'!P26</f>
        <v>5983.4021478822833</v>
      </c>
      <c r="S68" s="29">
        <f>'Time Series Data Inputs'!Q26</f>
        <v>7231.3704184826929</v>
      </c>
      <c r="T68" s="29">
        <f>'Time Series Data Inputs'!R26</f>
        <v>7982.4439424206794</v>
      </c>
      <c r="U68" s="29">
        <f>'Time Series Data Inputs'!S26</f>
        <v>11789.519755865855</v>
      </c>
      <c r="V68" s="29">
        <f>'Time Series Data Inputs'!T26</f>
        <v>9384.373383321421</v>
      </c>
      <c r="W68" s="29">
        <f>'Time Series Data Inputs'!U26</f>
        <v>9460.3541491677752</v>
      </c>
      <c r="X68" s="29">
        <f>'Time Series Data Inputs'!V26</f>
        <v>8512.0507962559059</v>
      </c>
      <c r="Y68" s="29">
        <f>'Time Series Data Inputs'!W26</f>
        <v>7582.7544043531234</v>
      </c>
    </row>
    <row r="69" spans="1:25" ht="15.75" x14ac:dyDescent="0.25">
      <c r="A69" s="109" t="s">
        <v>186</v>
      </c>
      <c r="B69" t="s">
        <v>7</v>
      </c>
      <c r="C69" s="3" t="s">
        <v>9</v>
      </c>
      <c r="D69" s="3">
        <f>SUMPRODUCT(F69:Y69,F$6:Y$6)</f>
        <v>46.06177549055225</v>
      </c>
      <c r="E69" s="59">
        <f>SUM(F69:Y69)</f>
        <v>66.921341679268735</v>
      </c>
      <c r="F69" s="7">
        <f>IF(F4&lt;MAX('Platform Cost Inputs'!$H$15:$H$20),0,IF(F5&gt;=Initiative8_Year_when_Option_1_Flexible_Charging_for_Residential_Evs_available,(F26*'Benefit Input Pars'!$B$14)/Million,0))</f>
        <v>0</v>
      </c>
      <c r="G69" s="7">
        <f>IF(G4&lt;MAX('Platform Cost Inputs'!$H$15:$H$20),0,IF(G5&gt;=Initiative8_Year_when_Option_1_Flexible_Charging_for_Residential_Evs_available,(G26*'Benefit Input Pars'!$B$14)/Million,0))</f>
        <v>0</v>
      </c>
      <c r="H69" s="7">
        <f>IF(H4&lt;MAX('Platform Cost Inputs'!$H$15:$H$20),0,IF(H5&gt;=Initiative8_Year_when_Option_1_Flexible_Charging_for_Residential_Evs_available,(H26*'Benefit Input Pars'!$B$14)/Million,0))</f>
        <v>0</v>
      </c>
      <c r="I69" s="7">
        <f>IF(I4&lt;MAX('Platform Cost Inputs'!$H$15:$H$20),0,IF(I5&gt;=Initiative8_Year_when_Option_1_Flexible_Charging_for_Residential_Evs_available,(I26*'Benefit Input Pars'!$B$14)/Million,0))</f>
        <v>0.61223824495920309</v>
      </c>
      <c r="J69" s="7">
        <f>IF(J4&lt;MAX('Platform Cost Inputs'!$H$15:$H$20),0,IF(J5&gt;=Initiative8_Year_when_Option_1_Flexible_Charging_for_Residential_Evs_available,(J26*'Benefit Input Pars'!$B$14)/Million,0))</f>
        <v>0.87414958677807753</v>
      </c>
      <c r="K69" s="7">
        <f>IF(K4&lt;MAX('Platform Cost Inputs'!$H$15:$H$20),0,IF(K5&gt;=Initiative8_Year_when_Option_1_Flexible_Charging_for_Residential_Evs_available,(K26*'Benefit Input Pars'!$B$14)/Million,0))</f>
        <v>1.2442978307854704</v>
      </c>
      <c r="L69" s="7">
        <f>IF(L4&lt;MAX('Platform Cost Inputs'!$H$15:$H$20),0,IF(L5&gt;=Initiative8_Year_when_Option_1_Flexible_Charging_for_Residential_Evs_available,(L26*'Benefit Input Pars'!$B$14)/Million,0))</f>
        <v>1.7180321401121925</v>
      </c>
      <c r="M69" s="7">
        <f>IF(M4&lt;MAX('Platform Cost Inputs'!$H$15:$H$20),0,IF(M5&gt;=Initiative8_Year_when_Option_1_Flexible_Charging_for_Residential_Evs_available,(M26*'Benefit Input Pars'!$B$14)/Million,0))</f>
        <v>2.0725599423992214</v>
      </c>
      <c r="N69" s="7">
        <f>IF(N4&lt;MAX('Platform Cost Inputs'!$H$15:$H$20),0,IF(N5&gt;=Initiative8_Year_when_Option_1_Flexible_Charging_for_Residential_Evs_available,(N26*'Benefit Input Pars'!$B$14)/Million,0))</f>
        <v>2.6299286003076583</v>
      </c>
      <c r="O69" s="7">
        <f>IF(O4&lt;MAX('Platform Cost Inputs'!$H$15:$H$20),0,IF(O5&gt;=Initiative8_Year_when_Option_1_Flexible_Charging_for_Residential_Evs_available,(O26*'Benefit Input Pars'!$B$14)/Million,0))</f>
        <v>2.8936220684597758</v>
      </c>
      <c r="P69" s="7">
        <f>IF(P4&lt;MAX('Platform Cost Inputs'!$H$15:$H$20),0,IF(P5&gt;=Initiative8_Year_when_Option_1_Flexible_Charging_for_Residential_Evs_available,(P26*'Benefit Input Pars'!$B$14)/Million,0))</f>
        <v>3.6149704574765695</v>
      </c>
      <c r="Q69" s="7">
        <f>IF(Q4&lt;MAX('Platform Cost Inputs'!$H$15:$H$20),0,IF(Q5&gt;=Initiative8_Year_when_Option_1_Flexible_Charging_for_Residential_Evs_available,(Q26*'Benefit Input Pars'!$B$14)/Million,0))</f>
        <v>4.0707668789288913</v>
      </c>
      <c r="R69" s="7">
        <f>IF(R4&lt;MAX('Platform Cost Inputs'!$H$15:$H$20),0,IF(R5&gt;=Initiative8_Year_when_Option_1_Flexible_Charging_for_Residential_Evs_available,(R26*'Benefit Input Pars'!$B$14)/Million,0))</f>
        <v>4.1568806033426231</v>
      </c>
      <c r="S69" s="7">
        <f>IF(S4&lt;MAX('Platform Cost Inputs'!$H$15:$H$20),0,IF(S5&gt;=Initiative8_Year_when_Option_1_Flexible_Charging_for_Residential_Evs_available,(S26*'Benefit Input Pars'!$B$14)/Million,0))</f>
        <v>5.0238881969207947</v>
      </c>
      <c r="T69" s="7">
        <f>IF(T4&lt;MAX('Platform Cost Inputs'!$H$15:$H$20),0,IF(T5&gt;=Initiative8_Year_when_Option_1_Flexible_Charging_for_Residential_Evs_available,(T26*'Benefit Input Pars'!$B$14)/Million,0))</f>
        <v>5.5456854764914185</v>
      </c>
      <c r="U69" s="7">
        <f>IF(U4&lt;MAX('Platform Cost Inputs'!$H$15:$H$20),0,IF(U5&gt;=Initiative8_Year_when_Option_1_Flexible_Charging_for_Residential_Evs_available,(U26*'Benefit Input Pars'!$B$14)/Million,0))</f>
        <v>8.1905953811292438</v>
      </c>
      <c r="V69" s="7">
        <f>IF(V4&lt;MAX('Platform Cost Inputs'!$H$15:$H$20),0,IF(V5&gt;=Initiative8_Year_when_Option_1_Flexible_Charging_for_Residential_Evs_available,(V26*'Benefit Input Pars'!$B$14)/Million,0))</f>
        <v>6.5196553277737452</v>
      </c>
      <c r="W69" s="7">
        <f>IF(W4&lt;MAX('Platform Cost Inputs'!$H$15:$H$20),0,IF(W5&gt;=Initiative8_Year_when_Option_1_Flexible_Charging_for_Residential_Evs_available,(W26*'Benefit Input Pars'!$B$14)/Million,0))</f>
        <v>6.5724418468756935</v>
      </c>
      <c r="X69" s="7">
        <f>IF(X4&lt;MAX('Platform Cost Inputs'!$H$15:$H$20),0,IF(X5&gt;=Initiative8_Year_when_Option_1_Flexible_Charging_for_Residential_Evs_available,(X26*'Benefit Input Pars'!$B$14)/Million,0))</f>
        <v>5.9136220456361395</v>
      </c>
      <c r="Y69" s="7">
        <f>IF(Y4&lt;MAX('Platform Cost Inputs'!$H$15:$H$20),0,IF(Y5&gt;=Initiative8_Year_when_Option_1_Flexible_Charging_for_Residential_Evs_available,(Y26*'Benefit Input Pars'!$B$14)/Million,0))</f>
        <v>5.268007050892022</v>
      </c>
    </row>
    <row r="70" spans="1:25" x14ac:dyDescent="0.25">
      <c r="A70" s="109" t="s">
        <v>163</v>
      </c>
      <c r="B70" t="s">
        <v>11</v>
      </c>
      <c r="E70" s="60"/>
      <c r="F70" s="29">
        <f>'Time Series Data Inputs'!D9*'Time Series Data Inputs'!D19</f>
        <v>265.14699903984757</v>
      </c>
      <c r="G70" s="29">
        <f>'Time Series Data Inputs'!E9*'Time Series Data Inputs'!E19</f>
        <v>422.90831026057447</v>
      </c>
      <c r="H70" s="29">
        <f>'Time Series Data Inputs'!F9*'Time Series Data Inputs'!F19</f>
        <v>760.25627780940022</v>
      </c>
      <c r="I70" s="29">
        <f>'Time Series Data Inputs'!G9*'Time Series Data Inputs'!G19</f>
        <v>1347.7589397748616</v>
      </c>
      <c r="J70" s="29">
        <f>'Time Series Data Inputs'!H9*'Time Series Data Inputs'!H19</f>
        <v>2186.591230009115</v>
      </c>
      <c r="K70" s="29">
        <f>'Time Series Data Inputs'!I9*'Time Series Data Inputs'!I19</f>
        <v>3380.6170751489021</v>
      </c>
      <c r="L70" s="29">
        <f>'Time Series Data Inputs'!J9*'Time Series Data Inputs'!J19</f>
        <v>5029.2374675672008</v>
      </c>
      <c r="M70" s="29">
        <f>'Time Series Data Inputs'!K9*'Time Series Data Inputs'!K19</f>
        <v>7018.0620685583781</v>
      </c>
      <c r="N70" s="29">
        <f>'Time Series Data Inputs'!L9*'Time Series Data Inputs'!L19</f>
        <v>9541.7365795533697</v>
      </c>
      <c r="O70" s="29">
        <f>'Time Series Data Inputs'!M9*'Time Series Data Inputs'!M19</f>
        <v>12318.45084387608</v>
      </c>
      <c r="P70" s="29">
        <f>'Time Series Data Inputs'!N9*'Time Series Data Inputs'!N19</f>
        <v>15787.369658047035</v>
      </c>
      <c r="Q70" s="29">
        <f>'Time Series Data Inputs'!O9*'Time Series Data Inputs'!O19</f>
        <v>19693.669856217308</v>
      </c>
      <c r="R70" s="29">
        <f>'Time Series Data Inputs'!P9*'Time Series Data Inputs'!P19</f>
        <v>23682.604621472168</v>
      </c>
      <c r="S70" s="29">
        <f>'Time Series Data Inputs'!Q9*'Time Series Data Inputs'!Q19</f>
        <v>28503.51823379397</v>
      </c>
      <c r="T70" s="29">
        <f>'Time Series Data Inputs'!R9*'Time Series Data Inputs'!R19</f>
        <v>33825.147528741079</v>
      </c>
      <c r="U70" s="29">
        <f>'Time Series Data Inputs'!S9*'Time Series Data Inputs'!S19</f>
        <v>41684.827365984987</v>
      </c>
      <c r="V70" s="29">
        <f>'Time Series Data Inputs'!T9*'Time Series Data Inputs'!T19</f>
        <v>47941.076288199249</v>
      </c>
      <c r="W70" s="29">
        <f>'Time Series Data Inputs'!U9*'Time Series Data Inputs'!U19</f>
        <v>54247.979054311108</v>
      </c>
      <c r="X70" s="29">
        <f>'Time Series Data Inputs'!V9*'Time Series Data Inputs'!V19</f>
        <v>59922.679585148384</v>
      </c>
      <c r="Y70" s="29">
        <f>'Time Series Data Inputs'!W9*'Time Series Data Inputs'!W19</f>
        <v>64977.849188050459</v>
      </c>
    </row>
    <row r="71" spans="1:25" x14ac:dyDescent="0.25">
      <c r="A71" s="109" t="s">
        <v>308</v>
      </c>
      <c r="B71" t="s">
        <v>11</v>
      </c>
      <c r="E71" s="60"/>
      <c r="F71" s="29">
        <f t="shared" ref="F71:Y71" si="17">IF(F5&gt;=Initiative8_Year_when_Option_2_Flexible_Charging_for_Public_Charging_Infrastructure_available,F70*(1-Initiative8_Percentage_of_Publilc_charging_Infrastructure_Charging_at_Peak_with_Flexible_Grids),F70)</f>
        <v>265.14699903984757</v>
      </c>
      <c r="G71" s="29">
        <f t="shared" si="17"/>
        <v>42.29083102605744</v>
      </c>
      <c r="H71" s="29">
        <f t="shared" si="17"/>
        <v>76.025627780939999</v>
      </c>
      <c r="I71" s="29">
        <f t="shared" si="17"/>
        <v>134.77589397748613</v>
      </c>
      <c r="J71" s="29">
        <f t="shared" si="17"/>
        <v>218.65912300091145</v>
      </c>
      <c r="K71" s="29">
        <f t="shared" si="17"/>
        <v>338.06170751489014</v>
      </c>
      <c r="L71" s="29">
        <f t="shared" si="17"/>
        <v>502.92374675671999</v>
      </c>
      <c r="M71" s="29">
        <f t="shared" si="17"/>
        <v>701.80620685583767</v>
      </c>
      <c r="N71" s="29">
        <f t="shared" si="17"/>
        <v>954.17365795533681</v>
      </c>
      <c r="O71" s="29">
        <f t="shared" si="17"/>
        <v>1231.8450843876078</v>
      </c>
      <c r="P71" s="29">
        <f t="shared" si="17"/>
        <v>1578.7369658047032</v>
      </c>
      <c r="Q71" s="29">
        <f t="shared" si="17"/>
        <v>1969.3669856217302</v>
      </c>
      <c r="R71" s="29">
        <f t="shared" si="17"/>
        <v>2368.2604621472165</v>
      </c>
      <c r="S71" s="29">
        <f t="shared" si="17"/>
        <v>2850.3518233793961</v>
      </c>
      <c r="T71" s="29">
        <f t="shared" si="17"/>
        <v>3382.5147528741072</v>
      </c>
      <c r="U71" s="29">
        <f t="shared" si="17"/>
        <v>4168.4827365984975</v>
      </c>
      <c r="V71" s="29">
        <f t="shared" si="17"/>
        <v>4794.1076288199238</v>
      </c>
      <c r="W71" s="29">
        <f t="shared" si="17"/>
        <v>5424.7979054311099</v>
      </c>
      <c r="X71" s="29">
        <f t="shared" si="17"/>
        <v>5992.2679585148371</v>
      </c>
      <c r="Y71" s="29">
        <f t="shared" si="17"/>
        <v>6497.7849188050441</v>
      </c>
    </row>
    <row r="72" spans="1:25" x14ac:dyDescent="0.25">
      <c r="A72" s="109" t="s">
        <v>267</v>
      </c>
      <c r="B72" t="s">
        <v>11</v>
      </c>
      <c r="E72" s="60"/>
      <c r="F72" s="29">
        <f>F70-F71</f>
        <v>0</v>
      </c>
      <c r="G72" s="29">
        <f t="shared" ref="G72:Y72" si="18">G70-G71</f>
        <v>380.61747923451702</v>
      </c>
      <c r="H72" s="29">
        <f t="shared" si="18"/>
        <v>684.23065002846022</v>
      </c>
      <c r="I72" s="29">
        <f t="shared" si="18"/>
        <v>1212.9830457973753</v>
      </c>
      <c r="J72" s="29">
        <f t="shared" si="18"/>
        <v>1967.9321070082035</v>
      </c>
      <c r="K72" s="29">
        <f t="shared" si="18"/>
        <v>3042.5553676340119</v>
      </c>
      <c r="L72" s="29">
        <f t="shared" si="18"/>
        <v>4526.3137208104808</v>
      </c>
      <c r="M72" s="29">
        <f t="shared" si="18"/>
        <v>6316.2558617025406</v>
      </c>
      <c r="N72" s="29">
        <f t="shared" si="18"/>
        <v>8587.5629215980334</v>
      </c>
      <c r="O72" s="29">
        <f t="shared" si="18"/>
        <v>11086.605759488473</v>
      </c>
      <c r="P72" s="29">
        <f t="shared" si="18"/>
        <v>14208.632692242332</v>
      </c>
      <c r="Q72" s="29">
        <f t="shared" si="18"/>
        <v>17724.302870595577</v>
      </c>
      <c r="R72" s="29">
        <f t="shared" si="18"/>
        <v>21314.344159324952</v>
      </c>
      <c r="S72" s="29">
        <f t="shared" si="18"/>
        <v>25653.166410414575</v>
      </c>
      <c r="T72" s="29">
        <f t="shared" si="18"/>
        <v>30442.632775866972</v>
      </c>
      <c r="U72" s="29">
        <f t="shared" si="18"/>
        <v>37516.344629386491</v>
      </c>
      <c r="V72" s="29">
        <f t="shared" si="18"/>
        <v>43146.968659379323</v>
      </c>
      <c r="W72" s="29">
        <f t="shared" si="18"/>
        <v>48823.181148880001</v>
      </c>
      <c r="X72" s="29">
        <f t="shared" si="18"/>
        <v>53930.411626633548</v>
      </c>
      <c r="Y72" s="29">
        <f t="shared" si="18"/>
        <v>58480.064269245413</v>
      </c>
    </row>
    <row r="73" spans="1:25" ht="15.75" x14ac:dyDescent="0.25">
      <c r="A73" s="109" t="s">
        <v>309</v>
      </c>
      <c r="B73" t="s">
        <v>57</v>
      </c>
      <c r="C73" s="4"/>
      <c r="D73" s="4"/>
      <c r="E73" s="60"/>
      <c r="F73" s="29">
        <f>'Time Series Data Inputs'!D30</f>
        <v>0</v>
      </c>
      <c r="G73" s="29">
        <f>'Time Series Data Inputs'!E30</f>
        <v>380.61747923451702</v>
      </c>
      <c r="H73" s="29">
        <f>'Time Series Data Inputs'!F30</f>
        <v>303.6131707939432</v>
      </c>
      <c r="I73" s="29">
        <f>'Time Series Data Inputs'!G30</f>
        <v>528.75239576891511</v>
      </c>
      <c r="J73" s="29">
        <f>'Time Series Data Inputs'!H30</f>
        <v>754.94906121082818</v>
      </c>
      <c r="K73" s="29">
        <f>'Time Series Data Inputs'!I30</f>
        <v>1074.6232606258084</v>
      </c>
      <c r="L73" s="29">
        <f>'Time Series Data Inputs'!J30</f>
        <v>1483.758353176469</v>
      </c>
      <c r="M73" s="29">
        <f>'Time Series Data Inputs'!K30</f>
        <v>1789.9421408920598</v>
      </c>
      <c r="N73" s="29">
        <f>'Time Series Data Inputs'!L30</f>
        <v>2271.3070598954928</v>
      </c>
      <c r="O73" s="29">
        <f>'Time Series Data Inputs'!M30</f>
        <v>2499.0428378904398</v>
      </c>
      <c r="P73" s="29">
        <f>'Time Series Data Inputs'!N30</f>
        <v>3122.026932753859</v>
      </c>
      <c r="Q73" s="29">
        <f>'Time Series Data Inputs'!O30</f>
        <v>3515.6701783532444</v>
      </c>
      <c r="R73" s="29">
        <f>'Time Series Data Inputs'!P30</f>
        <v>3590.0412887293751</v>
      </c>
      <c r="S73" s="29">
        <f>'Time Series Data Inputs'!Q30</f>
        <v>4338.822251089623</v>
      </c>
      <c r="T73" s="29">
        <f>'Time Series Data Inputs'!R30</f>
        <v>4789.4663654523974</v>
      </c>
      <c r="U73" s="29">
        <f>'Time Series Data Inputs'!S30</f>
        <v>7073.7118535195186</v>
      </c>
      <c r="V73" s="29">
        <f>'Time Series Data Inputs'!T30</f>
        <v>5630.6240299928322</v>
      </c>
      <c r="W73" s="29">
        <f>'Time Series Data Inputs'!U30</f>
        <v>5676.2124895006782</v>
      </c>
      <c r="X73" s="29">
        <f>'Time Series Data Inputs'!V30</f>
        <v>5107.2304777535464</v>
      </c>
      <c r="Y73" s="29">
        <f>'Time Series Data Inputs'!W30</f>
        <v>4549.6526426118653</v>
      </c>
    </row>
    <row r="74" spans="1:25" ht="15.75" x14ac:dyDescent="0.25">
      <c r="A74" s="109" t="s">
        <v>310</v>
      </c>
      <c r="B74" t="s">
        <v>7</v>
      </c>
      <c r="C74" s="3" t="s">
        <v>9</v>
      </c>
      <c r="D74" s="3">
        <f>SUMPRODUCT(F74:Y74,F$6:Y$6)</f>
        <v>27.63706529433135</v>
      </c>
      <c r="E74" s="59">
        <f>SUM(F74:Y74)</f>
        <v>40.152805007561234</v>
      </c>
      <c r="F74" s="7">
        <f>IF(F4&lt;MAX('Platform Cost Inputs'!$H$15:$H$20),0,IF(F5&gt;=Initiative8_Year_when_Option_2_Flexible_Charging_for_Public_Charging_Infrastructure_available,(F73*'Benefit Input Pars'!$B$14)/Million,0))</f>
        <v>0</v>
      </c>
      <c r="G74" s="7">
        <f>IF(G4&lt;MAX('Platform Cost Inputs'!$H$15:$H$20),0,IF(G5&gt;=Initiative8_Year_when_Option_2_Flexible_Charging_for_Public_Charging_Infrastructure_available,(G73*'Benefit Input Pars'!$B$14)/Million,0))</f>
        <v>0</v>
      </c>
      <c r="H74" s="7">
        <f>IF(H4&lt;MAX('Platform Cost Inputs'!$H$15:$H$20),0,IF(H5&gt;=Initiative8_Year_when_Option_2_Flexible_Charging_for_Public_Charging_Infrastructure_available,(H73*'Benefit Input Pars'!$B$14)/Million,0))</f>
        <v>0</v>
      </c>
      <c r="I74" s="7">
        <f>IF(I4&lt;MAX('Platform Cost Inputs'!$H$15:$H$20),0,IF(I5&gt;=Initiative8_Year_when_Option_2_Flexible_Charging_for_Public_Charging_Infrastructure_available,(I73*'Benefit Input Pars'!$B$14)/Million,0))</f>
        <v>0.36734294697552183</v>
      </c>
      <c r="J74" s="7">
        <f>IF(J4&lt;MAX('Platform Cost Inputs'!$H$15:$H$20),0,IF(J5&gt;=Initiative8_Year_when_Option_2_Flexible_Charging_for_Public_Charging_Infrastructure_available,(J73*'Benefit Input Pars'!$B$14)/Million,0))</f>
        <v>0.52448975206684623</v>
      </c>
      <c r="K74" s="7">
        <f>IF(K4&lt;MAX('Platform Cost Inputs'!$H$15:$H$20),0,IF(K5&gt;=Initiative8_Year_when_Option_2_Flexible_Charging_for_Public_Charging_Infrastructure_available,(K73*'Benefit Input Pars'!$B$14)/Million,0))</f>
        <v>0.74657869847128178</v>
      </c>
      <c r="L74" s="7">
        <f>IF(L4&lt;MAX('Platform Cost Inputs'!$H$15:$H$20),0,IF(L5&gt;=Initiative8_Year_when_Option_2_Flexible_Charging_for_Public_Charging_Infrastructure_available,(L73*'Benefit Input Pars'!$B$14)/Million,0))</f>
        <v>1.030819284067316</v>
      </c>
      <c r="M74" s="7">
        <f>IF(M4&lt;MAX('Platform Cost Inputs'!$H$15:$H$20),0,IF(M5&gt;=Initiative8_Year_when_Option_2_Flexible_Charging_for_Public_Charging_Infrastructure_available,(M73*'Benefit Input Pars'!$B$14)/Million,0))</f>
        <v>1.243535965439533</v>
      </c>
      <c r="N74" s="7">
        <f>IF(N4&lt;MAX('Platform Cost Inputs'!$H$15:$H$20),0,IF(N5&gt;=Initiative8_Year_when_Option_2_Flexible_Charging_for_Public_Charging_Infrastructure_available,(N73*'Benefit Input Pars'!$B$14)/Million,0))</f>
        <v>1.5779571601845952</v>
      </c>
      <c r="O74" s="7">
        <f>IF(O4&lt;MAX('Platform Cost Inputs'!$H$15:$H$20),0,IF(O5&gt;=Initiative8_Year_when_Option_2_Flexible_Charging_for_Public_Charging_Infrastructure_available,(O73*'Benefit Input Pars'!$B$14)/Million,0))</f>
        <v>1.7361732410758643</v>
      </c>
      <c r="P74" s="7">
        <f>IF(P4&lt;MAX('Platform Cost Inputs'!$H$15:$H$20),0,IF(P5&gt;=Initiative8_Year_when_Option_2_Flexible_Charging_for_Public_Charging_Infrastructure_available,(P73*'Benefit Input Pars'!$B$14)/Million,0))</f>
        <v>2.1689822744859408</v>
      </c>
      <c r="Q74" s="7">
        <f>IF(Q4&lt;MAX('Platform Cost Inputs'!$H$15:$H$20),0,IF(Q5&gt;=Initiative8_Year_when_Option_2_Flexible_Charging_for_Public_Charging_Infrastructure_available,(Q73*'Benefit Input Pars'!$B$14)/Million,0))</f>
        <v>2.4424601273573328</v>
      </c>
      <c r="R74" s="7">
        <f>IF(R4&lt;MAX('Platform Cost Inputs'!$H$15:$H$20),0,IF(R5&gt;=Initiative8_Year_when_Option_2_Flexible_Charging_for_Public_Charging_Infrastructure_available,(R73*'Benefit Input Pars'!$B$14)/Million,0))</f>
        <v>2.4941283620055774</v>
      </c>
      <c r="S74" s="7">
        <f>IF(S4&lt;MAX('Platform Cost Inputs'!$H$15:$H$20),0,IF(S5&gt;=Initiative8_Year_when_Option_2_Flexible_Charging_for_Public_Charging_Infrastructure_available,(S73*'Benefit Input Pars'!$B$14)/Million,0))</f>
        <v>3.0143329181524816</v>
      </c>
      <c r="T74" s="7">
        <f>IF(T4&lt;MAX('Platform Cost Inputs'!$H$15:$H$20),0,IF(T5&gt;=Initiative8_Year_when_Option_2_Flexible_Charging_for_Public_Charging_Infrastructure_available,(T73*'Benefit Input Pars'!$B$14)/Million,0))</f>
        <v>3.3274112858948444</v>
      </c>
      <c r="U74" s="7">
        <f>IF(U4&lt;MAX('Platform Cost Inputs'!$H$15:$H$20),0,IF(U5&gt;=Initiative8_Year_when_Option_2_Flexible_Charging_for_Public_Charging_Infrastructure_available,(U73*'Benefit Input Pars'!$B$14)/Million,0))</f>
        <v>4.9143572286775505</v>
      </c>
      <c r="V74" s="7">
        <f>IF(V4&lt;MAX('Platform Cost Inputs'!$H$15:$H$20),0,IF(V5&gt;=Initiative8_Year_when_Option_2_Flexible_Charging_for_Public_Charging_Infrastructure_available,(V73*'Benefit Input Pars'!$B$14)/Million,0))</f>
        <v>3.9117931966642332</v>
      </c>
      <c r="W74" s="7">
        <f>IF(W4&lt;MAX('Platform Cost Inputs'!$H$15:$H$20),0,IF(W5&gt;=Initiative8_Year_when_Option_2_Flexible_Charging_for_Public_Charging_Infrastructure_available,(W73*'Benefit Input Pars'!$B$14)/Million,0))</f>
        <v>3.9434651081254253</v>
      </c>
      <c r="X74" s="7">
        <f>IF(X4&lt;MAX('Platform Cost Inputs'!$H$15:$H$20),0,IF(X5&gt;=Initiative8_Year_when_Option_2_Flexible_Charging_for_Public_Charging_Infrastructure_available,(X73*'Benefit Input Pars'!$B$14)/Million,0))</f>
        <v>3.5481732273816862</v>
      </c>
      <c r="Y74" s="7">
        <f>IF(Y4&lt;MAX('Platform Cost Inputs'!$H$15:$H$20),0,IF(Y5&gt;=Initiative8_Year_when_Option_2_Flexible_Charging_for_Public_Charging_Infrastructure_available,(Y73*'Benefit Input Pars'!$B$14)/Million,0))</f>
        <v>3.160804230535208</v>
      </c>
    </row>
    <row r="75" spans="1:25" x14ac:dyDescent="0.25">
      <c r="A75" s="109" t="s">
        <v>58</v>
      </c>
      <c r="B75" t="s">
        <v>11</v>
      </c>
      <c r="E75" s="60"/>
      <c r="F75" s="29">
        <f>'Time Series Data Inputs'!D8*'Time Series Data Inputs'!D19</f>
        <v>265.14699903984757</v>
      </c>
      <c r="G75" s="29">
        <f>'Time Series Data Inputs'!E8*'Time Series Data Inputs'!E19</f>
        <v>422.90831026057447</v>
      </c>
      <c r="H75" s="29">
        <f>'Time Series Data Inputs'!F8*'Time Series Data Inputs'!F19</f>
        <v>760.25627780940022</v>
      </c>
      <c r="I75" s="29">
        <f>'Time Series Data Inputs'!G8*'Time Series Data Inputs'!G19</f>
        <v>1347.7589397748616</v>
      </c>
      <c r="J75" s="29">
        <f>'Time Series Data Inputs'!H8*'Time Series Data Inputs'!H19</f>
        <v>2186.591230009115</v>
      </c>
      <c r="K75" s="29">
        <f>'Time Series Data Inputs'!I8*'Time Series Data Inputs'!I19</f>
        <v>3380.6170751489021</v>
      </c>
      <c r="L75" s="29">
        <f>'Time Series Data Inputs'!J8*'Time Series Data Inputs'!J19</f>
        <v>5029.2374675672008</v>
      </c>
      <c r="M75" s="29">
        <f>'Time Series Data Inputs'!K8*'Time Series Data Inputs'!K19</f>
        <v>7018.0620685583781</v>
      </c>
      <c r="N75" s="29">
        <f>'Time Series Data Inputs'!L8*'Time Series Data Inputs'!L19</f>
        <v>9541.7365795533697</v>
      </c>
      <c r="O75" s="29">
        <f>'Time Series Data Inputs'!M8*'Time Series Data Inputs'!M19</f>
        <v>12318.45084387608</v>
      </c>
      <c r="P75" s="29">
        <f>'Time Series Data Inputs'!N8*'Time Series Data Inputs'!N19</f>
        <v>15787.369658047035</v>
      </c>
      <c r="Q75" s="29">
        <f>'Time Series Data Inputs'!O8*'Time Series Data Inputs'!O19</f>
        <v>19693.669856217308</v>
      </c>
      <c r="R75" s="29">
        <f>'Time Series Data Inputs'!P8*'Time Series Data Inputs'!P19</f>
        <v>23682.604621472168</v>
      </c>
      <c r="S75" s="29">
        <f>'Time Series Data Inputs'!Q8*'Time Series Data Inputs'!Q19</f>
        <v>28503.51823379397</v>
      </c>
      <c r="T75" s="29">
        <f>'Time Series Data Inputs'!R8*'Time Series Data Inputs'!R19</f>
        <v>33825.147528741079</v>
      </c>
      <c r="U75" s="29">
        <f>'Time Series Data Inputs'!S8*'Time Series Data Inputs'!S19</f>
        <v>41684.827365984987</v>
      </c>
      <c r="V75" s="29">
        <f>'Time Series Data Inputs'!T8*'Time Series Data Inputs'!T19</f>
        <v>47941.076288199249</v>
      </c>
      <c r="W75" s="29">
        <f>'Time Series Data Inputs'!U8*'Time Series Data Inputs'!U19</f>
        <v>54247.979054311108</v>
      </c>
      <c r="X75" s="29">
        <f>'Time Series Data Inputs'!V8*'Time Series Data Inputs'!V19</f>
        <v>59922.679585148384</v>
      </c>
      <c r="Y75" s="29">
        <f>'Time Series Data Inputs'!W8*'Time Series Data Inputs'!W19</f>
        <v>64977.849188050459</v>
      </c>
    </row>
    <row r="76" spans="1:25" x14ac:dyDescent="0.25">
      <c r="A76" s="109" t="s">
        <v>311</v>
      </c>
      <c r="B76" t="s">
        <v>11</v>
      </c>
      <c r="E76" s="60"/>
      <c r="F76" s="29">
        <f>IF(F5&gt;=Initiative8_Year_when_Option_2_Flexible_Charging_for_Commercial_Infrastructure_available,(1-Initiative8_Percentage_of_Commercial_Charging_infrastructure_charging_at_peak_with_Flexible_Grids)*'Time Series Data Inputs'!D8*'Time Series Data Inputs'!D19,F75)</f>
        <v>265.14699903984757</v>
      </c>
      <c r="G76" s="29">
        <f>IF(G5&gt;=Initiative8_Year_when_Option_2_Flexible_Charging_for_Commercial_Infrastructure_available,(1-Initiative8_Percentage_of_Commercial_Charging_infrastructure_charging_at_peak_with_Flexible_Grids)*'Time Series Data Inputs'!E8*'Time Series Data Inputs'!E19,G75)</f>
        <v>422.90831026057447</v>
      </c>
      <c r="H76" s="29">
        <f>IF(H5&gt;=Initiative8_Year_when_Option_2_Flexible_Charging_for_Commercial_Infrastructure_available,(1-Initiative8_Percentage_of_Commercial_Charging_infrastructure_charging_at_peak_with_Flexible_Grids)*'Time Series Data Inputs'!F8*'Time Series Data Inputs'!F19,H75)</f>
        <v>608.20502224752022</v>
      </c>
      <c r="I76" s="29">
        <f>IF(I5&gt;=Initiative8_Year_when_Option_2_Flexible_Charging_for_Commercial_Infrastructure_available,(1-Initiative8_Percentage_of_Commercial_Charging_infrastructure_charging_at_peak_with_Flexible_Grids)*'Time Series Data Inputs'!G8*'Time Series Data Inputs'!G19,I75)</f>
        <v>1078.2071518198893</v>
      </c>
      <c r="J76" s="29">
        <f>IF(J5&gt;=Initiative8_Year_when_Option_2_Flexible_Charging_for_Commercial_Infrastructure_available,(1-Initiative8_Percentage_of_Commercial_Charging_infrastructure_charging_at_peak_with_Flexible_Grids)*'Time Series Data Inputs'!H8*'Time Series Data Inputs'!H19,J75)</f>
        <v>1749.2729840072921</v>
      </c>
      <c r="K76" s="29">
        <f>IF(K5&gt;=Initiative8_Year_when_Option_2_Flexible_Charging_for_Commercial_Infrastructure_available,(1-Initiative8_Percentage_of_Commercial_Charging_infrastructure_charging_at_peak_with_Flexible_Grids)*'Time Series Data Inputs'!I8*'Time Series Data Inputs'!I19,K75)</f>
        <v>2704.4936601191216</v>
      </c>
      <c r="L76" s="29">
        <f>IF(L5&gt;=Initiative8_Year_when_Option_2_Flexible_Charging_for_Commercial_Infrastructure_available,(1-Initiative8_Percentage_of_Commercial_Charging_infrastructure_charging_at_peak_with_Flexible_Grids)*'Time Series Data Inputs'!J8*'Time Series Data Inputs'!J19,L75)</f>
        <v>4023.3899740537604</v>
      </c>
      <c r="M76" s="29">
        <f>IF(M5&gt;=Initiative8_Year_when_Option_2_Flexible_Charging_for_Commercial_Infrastructure_available,(1-Initiative8_Percentage_of_Commercial_Charging_infrastructure_charging_at_peak_with_Flexible_Grids)*'Time Series Data Inputs'!K8*'Time Series Data Inputs'!K19,M75)</f>
        <v>5614.4496548467023</v>
      </c>
      <c r="N76" s="29">
        <f>IF(N5&gt;=Initiative8_Year_when_Option_2_Flexible_Charging_for_Commercial_Infrastructure_available,(1-Initiative8_Percentage_of_Commercial_Charging_infrastructure_charging_at_peak_with_Flexible_Grids)*'Time Series Data Inputs'!L8*'Time Series Data Inputs'!L19,N75)</f>
        <v>7633.3892636426963</v>
      </c>
      <c r="O76" s="29">
        <f>IF(O5&gt;=Initiative8_Year_when_Option_2_Flexible_Charging_for_Commercial_Infrastructure_available,(1-Initiative8_Percentage_of_Commercial_Charging_infrastructure_charging_at_peak_with_Flexible_Grids)*'Time Series Data Inputs'!M8*'Time Series Data Inputs'!M19,O75)</f>
        <v>9854.7606751008643</v>
      </c>
      <c r="P76" s="29">
        <f>IF(P5&gt;=Initiative8_Year_when_Option_2_Flexible_Charging_for_Commercial_Infrastructure_available,(1-Initiative8_Percentage_of_Commercial_Charging_infrastructure_charging_at_peak_with_Flexible_Grids)*'Time Series Data Inputs'!N8*'Time Series Data Inputs'!N19,P75)</f>
        <v>12629.895726437628</v>
      </c>
      <c r="Q76" s="29">
        <f>IF(Q5&gt;=Initiative8_Year_when_Option_2_Flexible_Charging_for_Commercial_Infrastructure_available,(1-Initiative8_Percentage_of_Commercial_Charging_infrastructure_charging_at_peak_with_Flexible_Grids)*'Time Series Data Inputs'!O8*'Time Series Data Inputs'!O19,Q75)</f>
        <v>15754.935884973847</v>
      </c>
      <c r="R76" s="29">
        <f>IF(R5&gt;=Initiative8_Year_when_Option_2_Flexible_Charging_for_Commercial_Infrastructure_available,(1-Initiative8_Percentage_of_Commercial_Charging_infrastructure_charging_at_peak_with_Flexible_Grids)*'Time Series Data Inputs'!P8*'Time Series Data Inputs'!P19,R75)</f>
        <v>18946.083697177735</v>
      </c>
      <c r="S76" s="29">
        <f>IF(S5&gt;=Initiative8_Year_when_Option_2_Flexible_Charging_for_Commercial_Infrastructure_available,(1-Initiative8_Percentage_of_Commercial_Charging_infrastructure_charging_at_peak_with_Flexible_Grids)*'Time Series Data Inputs'!Q8*'Time Series Data Inputs'!Q19,S75)</f>
        <v>22802.814587035173</v>
      </c>
      <c r="T76" s="29">
        <f>IF(T5&gt;=Initiative8_Year_when_Option_2_Flexible_Charging_for_Commercial_Infrastructure_available,(1-Initiative8_Percentage_of_Commercial_Charging_infrastructure_charging_at_peak_with_Flexible_Grids)*'Time Series Data Inputs'!R8*'Time Series Data Inputs'!R19,T75)</f>
        <v>27060.118022992869</v>
      </c>
      <c r="U76" s="29">
        <f>IF(U5&gt;=Initiative8_Year_when_Option_2_Flexible_Charging_for_Commercial_Infrastructure_available,(1-Initiative8_Percentage_of_Commercial_Charging_infrastructure_charging_at_peak_with_Flexible_Grids)*'Time Series Data Inputs'!S8*'Time Series Data Inputs'!S19,U75)</f>
        <v>33347.861892787994</v>
      </c>
      <c r="V76" s="29">
        <f>IF(V5&gt;=Initiative8_Year_when_Option_2_Flexible_Charging_for_Commercial_Infrastructure_available,(1-Initiative8_Percentage_of_Commercial_Charging_infrastructure_charging_at_peak_with_Flexible_Grids)*'Time Series Data Inputs'!T8*'Time Series Data Inputs'!T19,V75)</f>
        <v>38352.861030559397</v>
      </c>
      <c r="W76" s="29">
        <f>IF(W5&gt;=Initiative8_Year_when_Option_2_Flexible_Charging_for_Commercial_Infrastructure_available,(1-Initiative8_Percentage_of_Commercial_Charging_infrastructure_charging_at_peak_with_Flexible_Grids)*'Time Series Data Inputs'!U8*'Time Series Data Inputs'!U19,W75)</f>
        <v>43398.383243448887</v>
      </c>
      <c r="X76" s="29">
        <f>IF(X5&gt;=Initiative8_Year_when_Option_2_Flexible_Charging_for_Commercial_Infrastructure_available,(1-Initiative8_Percentage_of_Commercial_Charging_infrastructure_charging_at_peak_with_Flexible_Grids)*'Time Series Data Inputs'!V8*'Time Series Data Inputs'!V19,X75)</f>
        <v>47938.143668118704</v>
      </c>
      <c r="Y76" s="29">
        <f>IF(Y5&gt;=Initiative8_Year_when_Option_2_Flexible_Charging_for_Commercial_Infrastructure_available,(1-Initiative8_Percentage_of_Commercial_Charging_infrastructure_charging_at_peak_with_Flexible_Grids)*'Time Series Data Inputs'!W8*'Time Series Data Inputs'!W19,Y75)</f>
        <v>51982.279350440367</v>
      </c>
    </row>
    <row r="77" spans="1:25" hidden="1" x14ac:dyDescent="0.25">
      <c r="A77" s="109" t="s">
        <v>184</v>
      </c>
      <c r="B77" t="s">
        <v>11</v>
      </c>
      <c r="E77" s="60"/>
      <c r="F77" s="29">
        <f>F75-F76</f>
        <v>0</v>
      </c>
      <c r="G77" s="29">
        <f t="shared" ref="G77:Y77" si="19">G75-G76</f>
        <v>0</v>
      </c>
      <c r="H77" s="29">
        <f t="shared" si="19"/>
        <v>152.05125556188</v>
      </c>
      <c r="I77" s="29">
        <f t="shared" si="19"/>
        <v>269.55178795497227</v>
      </c>
      <c r="J77" s="29">
        <f t="shared" si="19"/>
        <v>437.3182460018229</v>
      </c>
      <c r="K77" s="29">
        <f t="shared" si="19"/>
        <v>676.12341502978052</v>
      </c>
      <c r="L77" s="29">
        <f t="shared" si="19"/>
        <v>1005.8474935134404</v>
      </c>
      <c r="M77" s="29">
        <f t="shared" si="19"/>
        <v>1403.6124137116758</v>
      </c>
      <c r="N77" s="29">
        <f t="shared" si="19"/>
        <v>1908.3473159106734</v>
      </c>
      <c r="O77" s="29">
        <f t="shared" si="19"/>
        <v>2463.6901687752161</v>
      </c>
      <c r="P77" s="29">
        <f t="shared" si="19"/>
        <v>3157.4739316094074</v>
      </c>
      <c r="Q77" s="29">
        <f t="shared" si="19"/>
        <v>3938.7339712434605</v>
      </c>
      <c r="R77" s="29">
        <f t="shared" si="19"/>
        <v>4736.5209242944329</v>
      </c>
      <c r="S77" s="29">
        <f t="shared" si="19"/>
        <v>5700.7036467587968</v>
      </c>
      <c r="T77" s="29">
        <f t="shared" si="19"/>
        <v>6765.0295057482108</v>
      </c>
      <c r="U77" s="29">
        <f t="shared" si="19"/>
        <v>8336.9654731969931</v>
      </c>
      <c r="V77" s="29">
        <f t="shared" si="19"/>
        <v>9588.2152576398512</v>
      </c>
      <c r="W77" s="29">
        <f t="shared" si="19"/>
        <v>10849.595810862222</v>
      </c>
      <c r="X77" s="29">
        <f t="shared" si="19"/>
        <v>11984.53591702968</v>
      </c>
      <c r="Y77" s="29">
        <f t="shared" si="19"/>
        <v>12995.569837610092</v>
      </c>
    </row>
    <row r="78" spans="1:25" ht="15.75" hidden="1" x14ac:dyDescent="0.25">
      <c r="A78" s="109" t="s">
        <v>184</v>
      </c>
      <c r="B78" t="s">
        <v>7</v>
      </c>
      <c r="C78" s="3" t="s">
        <v>9</v>
      </c>
      <c r="D78" s="3" t="e">
        <f>SUMPRODUCT(F78:Y78,F$6:Y$6)</f>
        <v>#REF!</v>
      </c>
      <c r="E78" s="60"/>
      <c r="F78" s="7" t="e">
        <f t="shared" ref="F78:Y78" si="20">F77*LRMC___KVA/Million</f>
        <v>#REF!</v>
      </c>
      <c r="G78" s="7" t="e">
        <f t="shared" si="20"/>
        <v>#REF!</v>
      </c>
      <c r="H78" s="7" t="e">
        <f t="shared" si="20"/>
        <v>#REF!</v>
      </c>
      <c r="I78" s="7" t="e">
        <f t="shared" si="20"/>
        <v>#REF!</v>
      </c>
      <c r="J78" s="7" t="e">
        <f t="shared" si="20"/>
        <v>#REF!</v>
      </c>
      <c r="K78" s="7" t="e">
        <f t="shared" si="20"/>
        <v>#REF!</v>
      </c>
      <c r="L78" s="7" t="e">
        <f t="shared" si="20"/>
        <v>#REF!</v>
      </c>
      <c r="M78" s="7" t="e">
        <f t="shared" si="20"/>
        <v>#REF!</v>
      </c>
      <c r="N78" s="7" t="e">
        <f t="shared" si="20"/>
        <v>#REF!</v>
      </c>
      <c r="O78" s="7" t="e">
        <f t="shared" si="20"/>
        <v>#REF!</v>
      </c>
      <c r="P78" s="7" t="e">
        <f t="shared" si="20"/>
        <v>#REF!</v>
      </c>
      <c r="Q78" s="7" t="e">
        <f t="shared" si="20"/>
        <v>#REF!</v>
      </c>
      <c r="R78" s="7" t="e">
        <f t="shared" si="20"/>
        <v>#REF!</v>
      </c>
      <c r="S78" s="7" t="e">
        <f t="shared" si="20"/>
        <v>#REF!</v>
      </c>
      <c r="T78" s="7" t="e">
        <f t="shared" si="20"/>
        <v>#REF!</v>
      </c>
      <c r="U78" s="7" t="e">
        <f t="shared" si="20"/>
        <v>#REF!</v>
      </c>
      <c r="V78" s="7" t="e">
        <f t="shared" si="20"/>
        <v>#REF!</v>
      </c>
      <c r="W78" s="7" t="e">
        <f t="shared" si="20"/>
        <v>#REF!</v>
      </c>
      <c r="X78" s="7" t="e">
        <f t="shared" si="20"/>
        <v>#REF!</v>
      </c>
      <c r="Y78" s="7" t="e">
        <f t="shared" si="20"/>
        <v>#REF!</v>
      </c>
    </row>
    <row r="79" spans="1:25" ht="15.75" hidden="1" x14ac:dyDescent="0.25">
      <c r="A79" s="109" t="s">
        <v>185</v>
      </c>
      <c r="B79" t="s">
        <v>57</v>
      </c>
      <c r="C79" s="4"/>
      <c r="D79" s="4"/>
      <c r="E79" s="60"/>
      <c r="F79" s="29" t="e">
        <f>'Time Series Data Inputs'!#REF!</f>
        <v>#REF!</v>
      </c>
      <c r="G79" s="29" t="e">
        <f>'Time Series Data Inputs'!#REF!</f>
        <v>#REF!</v>
      </c>
      <c r="H79" s="29" t="e">
        <f>'Time Series Data Inputs'!#REF!</f>
        <v>#REF!</v>
      </c>
      <c r="I79" s="29" t="e">
        <f>'Time Series Data Inputs'!#REF!</f>
        <v>#REF!</v>
      </c>
      <c r="J79" s="29" t="e">
        <f>'Time Series Data Inputs'!#REF!</f>
        <v>#REF!</v>
      </c>
      <c r="K79" s="29" t="e">
        <f>'Time Series Data Inputs'!#REF!</f>
        <v>#REF!</v>
      </c>
      <c r="L79" s="29" t="e">
        <f>'Time Series Data Inputs'!#REF!</f>
        <v>#REF!</v>
      </c>
      <c r="M79" s="29" t="e">
        <f>'Time Series Data Inputs'!#REF!</f>
        <v>#REF!</v>
      </c>
      <c r="N79" s="29" t="e">
        <f>'Time Series Data Inputs'!#REF!</f>
        <v>#REF!</v>
      </c>
      <c r="O79" s="29" t="e">
        <f>'Time Series Data Inputs'!#REF!</f>
        <v>#REF!</v>
      </c>
      <c r="P79" s="29" t="e">
        <f>'Time Series Data Inputs'!#REF!</f>
        <v>#REF!</v>
      </c>
      <c r="Q79" s="29" t="e">
        <f>'Time Series Data Inputs'!#REF!</f>
        <v>#REF!</v>
      </c>
      <c r="R79" s="29" t="e">
        <f>'Time Series Data Inputs'!#REF!</f>
        <v>#REF!</v>
      </c>
      <c r="S79" s="29" t="e">
        <f>'Time Series Data Inputs'!#REF!</f>
        <v>#REF!</v>
      </c>
      <c r="T79" s="29" t="e">
        <f>'Time Series Data Inputs'!#REF!</f>
        <v>#REF!</v>
      </c>
      <c r="U79" s="29" t="e">
        <f>'Time Series Data Inputs'!#REF!</f>
        <v>#REF!</v>
      </c>
      <c r="V79" s="29" t="e">
        <f>'Time Series Data Inputs'!#REF!</f>
        <v>#REF!</v>
      </c>
      <c r="W79" s="29" t="e">
        <f>'Time Series Data Inputs'!#REF!</f>
        <v>#REF!</v>
      </c>
      <c r="X79" s="29" t="e">
        <f>'Time Series Data Inputs'!#REF!</f>
        <v>#REF!</v>
      </c>
      <c r="Y79" s="29" t="e">
        <f>'Time Series Data Inputs'!#REF!</f>
        <v>#REF!</v>
      </c>
    </row>
    <row r="80" spans="1:25" ht="15.75" hidden="1" x14ac:dyDescent="0.25">
      <c r="A80" s="109" t="s">
        <v>185</v>
      </c>
      <c r="B80" t="s">
        <v>7</v>
      </c>
      <c r="C80" s="3" t="s">
        <v>9</v>
      </c>
      <c r="D80" s="3" t="e">
        <f>SUMPRODUCT(F80:Y80,F$6:Y$6)</f>
        <v>#REF!</v>
      </c>
      <c r="E80" s="60"/>
      <c r="F80" s="7" t="e">
        <f>(F79*'Benefit Input Pars'!#REF!)/Million</f>
        <v>#REF!</v>
      </c>
      <c r="G80" s="7" t="e">
        <f>(G79*'Benefit Input Pars'!#REF!)/Million</f>
        <v>#REF!</v>
      </c>
      <c r="H80" s="7" t="e">
        <f>(H79*'Benefit Input Pars'!#REF!)/Million</f>
        <v>#REF!</v>
      </c>
      <c r="I80" s="7" t="e">
        <f>(I79*'Benefit Input Pars'!#REF!)/Million</f>
        <v>#REF!</v>
      </c>
      <c r="J80" s="7" t="e">
        <f>(J79*'Benefit Input Pars'!#REF!)/Million</f>
        <v>#REF!</v>
      </c>
      <c r="K80" s="7" t="e">
        <f>(K79*'Benefit Input Pars'!#REF!)/Million</f>
        <v>#REF!</v>
      </c>
      <c r="L80" s="7" t="e">
        <f>(L79*'Benefit Input Pars'!#REF!)/Million</f>
        <v>#REF!</v>
      </c>
      <c r="M80" s="7" t="e">
        <f>(M79*'Benefit Input Pars'!#REF!)/Million</f>
        <v>#REF!</v>
      </c>
      <c r="N80" s="7" t="e">
        <f>(N79*'Benefit Input Pars'!#REF!)/Million</f>
        <v>#REF!</v>
      </c>
      <c r="O80" s="7" t="e">
        <f>(O79*'Benefit Input Pars'!#REF!)/Million</f>
        <v>#REF!</v>
      </c>
      <c r="P80" s="7" t="e">
        <f>(P79*'Benefit Input Pars'!#REF!)/Million</f>
        <v>#REF!</v>
      </c>
      <c r="Q80" s="7" t="e">
        <f>(Q79*'Benefit Input Pars'!#REF!)/Million</f>
        <v>#REF!</v>
      </c>
      <c r="R80" s="7" t="e">
        <f>(R79*'Benefit Input Pars'!#REF!)/Million</f>
        <v>#REF!</v>
      </c>
      <c r="S80" s="7" t="e">
        <f>(S79*'Benefit Input Pars'!#REF!)/Million</f>
        <v>#REF!</v>
      </c>
      <c r="T80" s="7" t="e">
        <f>(T79*'Benefit Input Pars'!#REF!)/Million</f>
        <v>#REF!</v>
      </c>
      <c r="U80" s="7" t="e">
        <f>(U79*'Benefit Input Pars'!#REF!)/Million</f>
        <v>#REF!</v>
      </c>
      <c r="V80" s="7" t="e">
        <f>(V79*'Benefit Input Pars'!#REF!)/Million</f>
        <v>#REF!</v>
      </c>
      <c r="W80" s="7" t="e">
        <f>(W79*'Benefit Input Pars'!#REF!)/Million</f>
        <v>#REF!</v>
      </c>
      <c r="X80" s="7" t="e">
        <f>(X79*'Benefit Input Pars'!#REF!)/Million</f>
        <v>#REF!</v>
      </c>
      <c r="Y80" s="7" t="e">
        <f>(Y79*'Benefit Input Pars'!#REF!)/Million</f>
        <v>#REF!</v>
      </c>
    </row>
    <row r="81" spans="1:33" ht="15.75" x14ac:dyDescent="0.25">
      <c r="A81" s="109" t="s">
        <v>58</v>
      </c>
      <c r="B81" t="s">
        <v>57</v>
      </c>
      <c r="C81" s="4"/>
      <c r="D81" s="4"/>
      <c r="E81" s="60"/>
      <c r="F81" s="29">
        <f>'Time Series Data Inputs'!D34</f>
        <v>0</v>
      </c>
      <c r="G81" s="29">
        <f>'Time Series Data Inputs'!E34</f>
        <v>0</v>
      </c>
      <c r="H81" s="29">
        <f>'Time Series Data Inputs'!F34</f>
        <v>152.05125556188</v>
      </c>
      <c r="I81" s="29">
        <f>'Time Series Data Inputs'!G34</f>
        <v>117.50053239309227</v>
      </c>
      <c r="J81" s="29">
        <f>'Time Series Data Inputs'!H34</f>
        <v>167.76645804685063</v>
      </c>
      <c r="K81" s="29">
        <f>'Time Series Data Inputs'!I34</f>
        <v>238.80516902795762</v>
      </c>
      <c r="L81" s="29">
        <f>'Time Series Data Inputs'!J34</f>
        <v>329.72407848365992</v>
      </c>
      <c r="M81" s="29">
        <f>'Time Series Data Inputs'!K34</f>
        <v>397.76492019823536</v>
      </c>
      <c r="N81" s="29">
        <f>'Time Series Data Inputs'!L34</f>
        <v>504.73490219899759</v>
      </c>
      <c r="O81" s="29">
        <f>'Time Series Data Inputs'!M34</f>
        <v>555.34285286454269</v>
      </c>
      <c r="P81" s="29">
        <f>'Time Series Data Inputs'!N34</f>
        <v>693.78376283419129</v>
      </c>
      <c r="Q81" s="29">
        <f>'Time Series Data Inputs'!O34</f>
        <v>781.2600396340531</v>
      </c>
      <c r="R81" s="29">
        <f>'Time Series Data Inputs'!P34</f>
        <v>797.78695305097244</v>
      </c>
      <c r="S81" s="29">
        <f>'Time Series Data Inputs'!Q34</f>
        <v>964.18272246436391</v>
      </c>
      <c r="T81" s="29">
        <f>'Time Series Data Inputs'!R34</f>
        <v>1064.325858989414</v>
      </c>
      <c r="U81" s="29">
        <f>'Time Series Data Inputs'!S34</f>
        <v>1571.9359674487823</v>
      </c>
      <c r="V81" s="29">
        <f>'Time Series Data Inputs'!T34</f>
        <v>1251.2497844428581</v>
      </c>
      <c r="W81" s="29">
        <f>'Time Series Data Inputs'!U34</f>
        <v>1261.3805532223705</v>
      </c>
      <c r="X81" s="29">
        <f>'Time Series Data Inputs'!V34</f>
        <v>1134.940106167458</v>
      </c>
      <c r="Y81" s="29">
        <f>'Time Series Data Inputs'!W34</f>
        <v>1011.0339205804121</v>
      </c>
    </row>
    <row r="82" spans="1:33" ht="15.75" x14ac:dyDescent="0.25">
      <c r="A82" s="156" t="s">
        <v>312</v>
      </c>
      <c r="B82" s="91" t="s">
        <v>7</v>
      </c>
      <c r="C82" s="202" t="s">
        <v>9</v>
      </c>
      <c r="D82" s="202">
        <f>SUMPRODUCT(F82:Y82,F$6:Y$6)</f>
        <v>6.1415700654069667</v>
      </c>
      <c r="E82" s="204">
        <f>SUM(F82:Y82)</f>
        <v>8.9228455572358296</v>
      </c>
      <c r="F82" s="205">
        <f>IF(F4&lt;MAX('Platform Cost Inputs'!$H$15:$H$20),0,IF(F5&gt;=Initiative8_Year_when_Option_2_Flexible_Charging_for_Commercial_Infrastructure_available,(F81*'Benefit Input Pars'!$B$14)/Million,0))</f>
        <v>0</v>
      </c>
      <c r="G82" s="205">
        <f>IF(G4&lt;MAX('Platform Cost Inputs'!$H$15:$H$20),0,IF(G5&gt;=Initiative8_Year_when_Option_2_Flexible_Charging_for_Commercial_Infrastructure_available,(G81*'Benefit Input Pars'!$B$14)/Million,0))</f>
        <v>0</v>
      </c>
      <c r="H82" s="205">
        <f>IF(H4&lt;MAX('Platform Cost Inputs'!$H$15:$H$20),0,IF(H5&gt;=Initiative8_Year_when_Option_2_Flexible_Charging_for_Commercial_Infrastructure_available,(H81*'Benefit Input Pars'!$B$14)/Million,0))</f>
        <v>0</v>
      </c>
      <c r="I82" s="205">
        <f>IF(I4&lt;MAX('Platform Cost Inputs'!$H$15:$H$20),0,IF(I5&gt;=Initiative8_Year_when_Option_2_Flexible_Charging_for_Commercial_Infrastructure_available,(I81*'Benefit Input Pars'!$B$14)/Million,0))</f>
        <v>8.1631765994560429E-2</v>
      </c>
      <c r="J82" s="205">
        <f>IF(J4&lt;MAX('Platform Cost Inputs'!$H$15:$H$20),0,IF(J5&gt;=Initiative8_Year_when_Option_2_Flexible_Charging_for_Commercial_Infrastructure_available,(J81*'Benefit Input Pars'!$B$14)/Million,0))</f>
        <v>0.1165532782370769</v>
      </c>
      <c r="K82" s="205">
        <f>IF(K4&lt;MAX('Platform Cost Inputs'!$H$15:$H$20),0,IF(K5&gt;=Initiative8_Year_when_Option_2_Flexible_Charging_for_Commercial_Infrastructure_available,(K81*'Benefit Input Pars'!$B$14)/Million,0))</f>
        <v>0.16590637743806275</v>
      </c>
      <c r="L82" s="205">
        <f>IF(L4&lt;MAX('Platform Cost Inputs'!$H$15:$H$20),0,IF(L5&gt;=Initiative8_Year_when_Option_2_Flexible_Charging_for_Commercial_Infrastructure_available,(L81*'Benefit Input Pars'!$B$14)/Million,0))</f>
        <v>0.22907095201495925</v>
      </c>
      <c r="M82" s="205">
        <f>IF(M4&lt;MAX('Platform Cost Inputs'!$H$15:$H$20),0,IF(M5&gt;=Initiative8_Year_when_Option_2_Flexible_Charging_for_Commercial_Infrastructure_available,(M81*'Benefit Input Pars'!$B$14)/Million,0))</f>
        <v>0.2763413256532295</v>
      </c>
      <c r="N82" s="205">
        <f>IF(N4&lt;MAX('Platform Cost Inputs'!$H$15:$H$20),0,IF(N5&gt;=Initiative8_Year_when_Option_2_Flexible_Charging_for_Commercial_Infrastructure_available,(N81*'Benefit Input Pars'!$B$14)/Million,0))</f>
        <v>0.35065714670768722</v>
      </c>
      <c r="O82" s="205">
        <f>IF(O4&lt;MAX('Platform Cost Inputs'!$H$15:$H$20),0,IF(O5&gt;=Initiative8_Year_when_Option_2_Flexible_Charging_for_Commercial_Infrastructure_available,(O81*'Benefit Input Pars'!$B$14)/Million,0))</f>
        <v>0.38581627579463684</v>
      </c>
      <c r="P82" s="205">
        <f>IF(P4&lt;MAX('Platform Cost Inputs'!$H$15:$H$20),0,IF(P5&gt;=Initiative8_Year_when_Option_2_Flexible_Charging_for_Commercial_Infrastructure_available,(P81*'Benefit Input Pars'!$B$14)/Million,0))</f>
        <v>0.48199606099687603</v>
      </c>
      <c r="Q82" s="205">
        <f>IF(Q4&lt;MAX('Platform Cost Inputs'!$H$15:$H$20),0,IF(Q5&gt;=Initiative8_Year_when_Option_2_Flexible_Charging_for_Commercial_Infrastructure_available,(Q81*'Benefit Input Pars'!$B$14)/Million,0))</f>
        <v>0.54276891719051756</v>
      </c>
      <c r="R82" s="205">
        <f>IF(R4&lt;MAX('Platform Cost Inputs'!$H$15:$H$20),0,IF(R5&gt;=Initiative8_Year_when_Option_2_Flexible_Charging_for_Commercial_Infrastructure_available,(R81*'Benefit Input Pars'!$B$14)/Million,0))</f>
        <v>0.55425074711235067</v>
      </c>
      <c r="S82" s="205">
        <f>IF(S4&lt;MAX('Platform Cost Inputs'!$H$15:$H$20),0,IF(S5&gt;=Initiative8_Year_when_Option_2_Flexible_Charging_for_Commercial_Infrastructure_available,(S81*'Benefit Input Pars'!$B$14)/Million,0))</f>
        <v>0.66985175958944265</v>
      </c>
      <c r="T82" s="205">
        <f>IF(T4&lt;MAX('Platform Cost Inputs'!$H$15:$H$20),0,IF(T5&gt;=Initiative8_Year_when_Option_2_Flexible_Charging_for_Commercial_Infrastructure_available,(T81*'Benefit Input Pars'!$B$14)/Million,0))</f>
        <v>0.73942473019884891</v>
      </c>
      <c r="U82" s="205">
        <f>IF(U4&lt;MAX('Platform Cost Inputs'!$H$15:$H$20),0,IF(U5&gt;=Initiative8_Year_when_Option_2_Flexible_Charging_for_Commercial_Infrastructure_available,(U81*'Benefit Input Pars'!$B$14)/Million,0))</f>
        <v>1.0920793841505669</v>
      </c>
      <c r="V82" s="205">
        <f>IF(V4&lt;MAX('Platform Cost Inputs'!$H$15:$H$20),0,IF(V5&gt;=Initiative8_Year_when_Option_2_Flexible_Charging_for_Commercial_Infrastructure_available,(V81*'Benefit Input Pars'!$B$14)/Million,0))</f>
        <v>0.86928737703650072</v>
      </c>
      <c r="W82" s="205">
        <f>IF(W4&lt;MAX('Platform Cost Inputs'!$H$15:$H$20),0,IF(W5&gt;=Initiative8_Year_when_Option_2_Flexible_Charging_for_Commercial_Infrastructure_available,(W81*'Benefit Input Pars'!$B$14)/Million,0))</f>
        <v>0.87632557958342616</v>
      </c>
      <c r="X82" s="205">
        <f>IF(X4&lt;MAX('Platform Cost Inputs'!$H$15:$H$20),0,IF(X5&gt;=Initiative8_Year_when_Option_2_Flexible_Charging_for_Commercial_Infrastructure_available,(X81*'Benefit Input Pars'!$B$14)/Million,0))</f>
        <v>0.78848293941815473</v>
      </c>
      <c r="Y82" s="205">
        <f>IF(Y4&lt;MAX('Platform Cost Inputs'!$H$15:$H$20),0,IF(Y5&gt;=Initiative8_Year_when_Option_2_Flexible_Charging_for_Commercial_Infrastructure_available,(Y81*'Benefit Input Pars'!$B$14)/Million,0))</f>
        <v>0.70240094011893328</v>
      </c>
    </row>
    <row r="83" spans="1:33" x14ac:dyDescent="0.25">
      <c r="A83" s="109"/>
    </row>
    <row r="84" spans="1:33" x14ac:dyDescent="0.25">
      <c r="A84" s="200" t="str">
        <f>A30</f>
        <v>Benefit Category 4 - Customer Load Monitoring and Optimisation</v>
      </c>
      <c r="F84" s="7"/>
    </row>
    <row r="85" spans="1:33" x14ac:dyDescent="0.25">
      <c r="A85" s="109" t="s">
        <v>142</v>
      </c>
      <c r="B85" t="s">
        <v>147</v>
      </c>
      <c r="E85" s="60"/>
      <c r="F85" s="29">
        <f>IF(F5&gt;=Initiative9_Year_when_Option_1_Customer_Load_Monitoring_and_Optimisation_Available,Initiative9_Annual_Number_of_Customers_per_year_that_have_load_control_devices_fitted+'Device Cost Input'!H19,0)</f>
        <v>0</v>
      </c>
      <c r="G85" s="29">
        <f>IF(G5&gt;=Initiative9_Year_when_Option_1_Customer_Load_Monitoring_and_Optimisation_Available,Initiative9_Annual_Number_of_Customers_per_year_that_have_load_control_devices_fitted,0)+SUM($F$85:F85)*'Benefit Input Pars'!$B$63</f>
        <v>2500</v>
      </c>
      <c r="H85" s="29">
        <f>IF(H5&gt;=Initiative9_Year_when_Option_1_Customer_Load_Monitoring_and_Optimisation_Available,Initiative9_Annual_Number_of_Customers_per_year_that_have_load_control_devices_fitted,0)+SUM($F$85:G85)*'Benefit Input Pars'!$B$63</f>
        <v>2750</v>
      </c>
      <c r="I85" s="29">
        <f>IF(I5&gt;=Initiative9_Year_when_Option_1_Customer_Load_Monitoring_and_Optimisation_Available,Initiative9_Annual_Number_of_Customers_per_year_that_have_load_control_devices_fitted,0)+SUM($F$85:H85)*'Benefit Input Pars'!$B$63</f>
        <v>3025</v>
      </c>
      <c r="J85" s="29">
        <f>IF(J5&gt;=Initiative9_Year_when_Option_1_Customer_Load_Monitoring_and_Optimisation_Available,Initiative9_Annual_Number_of_Customers_per_year_that_have_load_control_devices_fitted,0)+SUM($F$85:I85)*'Benefit Input Pars'!$B$63</f>
        <v>3327.5</v>
      </c>
      <c r="K85" s="29">
        <f>IF(K5&gt;=Initiative9_Year_when_Option_1_Customer_Load_Monitoring_and_Optimisation_Available,Initiative9_Annual_Number_of_Customers_per_year_that_have_load_control_devices_fitted,0)+SUM($F$85:J85)*'Benefit Input Pars'!$B$63</f>
        <v>3660.25</v>
      </c>
      <c r="L85" s="29">
        <f>IF(L5&gt;=Initiative9_Year_when_Option_1_Customer_Load_Monitoring_and_Optimisation_Available,Initiative9_Annual_Number_of_Customers_per_year_that_have_load_control_devices_fitted,0)+SUM($F$85:K85)*'Benefit Input Pars'!$B$63</f>
        <v>4026.2750000000001</v>
      </c>
      <c r="M85" s="29">
        <f>IF(M5&gt;=Initiative9_Year_when_Option_1_Customer_Load_Monitoring_and_Optimisation_Available,Initiative9_Annual_Number_of_Customers_per_year_that_have_load_control_devices_fitted,0)+SUM($F$85:L85)*'Benefit Input Pars'!$B$63</f>
        <v>4428.9025000000001</v>
      </c>
      <c r="N85" s="29">
        <f>IF(N5&gt;=Initiative9_Year_when_Option_1_Customer_Load_Monitoring_and_Optimisation_Available,Initiative9_Annual_Number_of_Customers_per_year_that_have_load_control_devices_fitted,0)+SUM($F$85:M85)*'Benefit Input Pars'!$B$63</f>
        <v>4871.7927500000005</v>
      </c>
      <c r="O85" s="29">
        <f>IF(O5&gt;=Initiative9_Year_when_Option_1_Customer_Load_Monitoring_and_Optimisation_Available,Initiative9_Annual_Number_of_Customers_per_year_that_have_load_control_devices_fitted,0)+SUM($F$85:N85)*'Benefit Input Pars'!$B$63</f>
        <v>5358.9720250000009</v>
      </c>
      <c r="P85" s="29">
        <f>IF(P5&gt;=Initiative9_Year_when_Option_1_Customer_Load_Monitoring_and_Optimisation_Available,Initiative9_Annual_Number_of_Customers_per_year_that_have_load_control_devices_fitted,0)+SUM($F$85:O85)*'Benefit Input Pars'!$B$63</f>
        <v>5894.8692275000003</v>
      </c>
      <c r="Q85" s="29">
        <f>IF(Q5&gt;=Initiative9_Year_when_Option_1_Customer_Load_Monitoring_and_Optimisation_Available,Initiative9_Annual_Number_of_Customers_per_year_that_have_load_control_devices_fitted,0)+SUM($F$85:P85)*'Benefit Input Pars'!$B$63</f>
        <v>6484.3561502499997</v>
      </c>
      <c r="R85" s="29">
        <f>IF(R5&gt;=Initiative9_Year_when_Option_1_Customer_Load_Monitoring_and_Optimisation_Available,Initiative9_Annual_Number_of_Customers_per_year_that_have_load_control_devices_fitted,0)+SUM($F$85:Q85)*'Benefit Input Pars'!$B$63</f>
        <v>7132.7917652750002</v>
      </c>
      <c r="S85" s="29">
        <f>IF(S5&gt;=Initiative9_Year_when_Option_1_Customer_Load_Monitoring_and_Optimisation_Available,Initiative9_Annual_Number_of_Customers_per_year_that_have_load_control_devices_fitted,0)+SUM($F$85:R85)*'Benefit Input Pars'!$B$63</f>
        <v>7846.0709418024999</v>
      </c>
      <c r="T85" s="29">
        <f>IF(T5&gt;=Initiative9_Year_when_Option_1_Customer_Load_Monitoring_and_Optimisation_Available,Initiative9_Annual_Number_of_Customers_per_year_that_have_load_control_devices_fitted,0)+SUM($F$85:S85)*'Benefit Input Pars'!$B$63</f>
        <v>8630.6780359827499</v>
      </c>
      <c r="U85" s="29">
        <f>IF(U5&gt;=Initiative9_Year_when_Option_1_Customer_Load_Monitoring_and_Optimisation_Available,Initiative9_Annual_Number_of_Customers_per_year_that_have_load_control_devices_fitted,0)+SUM($F$85:T85)*'Benefit Input Pars'!$B$63</f>
        <v>9493.7458395810245</v>
      </c>
      <c r="V85" s="29">
        <f>IF(V5&gt;=Initiative9_Year_when_Option_1_Customer_Load_Monitoring_and_Optimisation_Available,Initiative9_Annual_Number_of_Customers_per_year_that_have_load_control_devices_fitted,0)+SUM($F$85:U85)*'Benefit Input Pars'!$B$63</f>
        <v>10443.120423539127</v>
      </c>
      <c r="W85" s="29">
        <f>IF(W5&gt;=Initiative9_Year_when_Option_1_Customer_Load_Monitoring_and_Optimisation_Available,Initiative9_Annual_Number_of_Customers_per_year_that_have_load_control_devices_fitted,0)+SUM($F$85:V85)*'Benefit Input Pars'!$B$63</f>
        <v>11487.43246589304</v>
      </c>
      <c r="X85" s="29">
        <f>IF(X5&gt;=Initiative9_Year_when_Option_1_Customer_Load_Monitoring_and_Optimisation_Available,Initiative9_Annual_Number_of_Customers_per_year_that_have_load_control_devices_fitted,0)+SUM($F$85:W85)*'Benefit Input Pars'!$B$63</f>
        <v>12636.175712482343</v>
      </c>
      <c r="Y85" s="29">
        <f>IF(Y5&gt;=Initiative9_Year_when_Option_1_Customer_Load_Monitoring_and_Optimisation_Available,Initiative9_Annual_Number_of_Customers_per_year_that_have_load_control_devices_fitted,0)+SUM($F$85:X85)*'Benefit Input Pars'!$B$63</f>
        <v>13899.793283730578</v>
      </c>
    </row>
    <row r="86" spans="1:33" x14ac:dyDescent="0.25">
      <c r="A86" s="109" t="s">
        <v>143</v>
      </c>
      <c r="B86" t="s">
        <v>147</v>
      </c>
      <c r="E86" s="60"/>
      <c r="F86" s="29">
        <f>SUM($F85:F$85)</f>
        <v>0</v>
      </c>
      <c r="G86" s="29">
        <f>SUM($F85:G$85)</f>
        <v>2500</v>
      </c>
      <c r="H86" s="29">
        <f>SUM($F85:H$85)</f>
        <v>5250</v>
      </c>
      <c r="I86" s="29">
        <f>SUM($F85:I$85)</f>
        <v>8275</v>
      </c>
      <c r="J86" s="29">
        <f>SUM($F85:J$85)</f>
        <v>11602.5</v>
      </c>
      <c r="K86" s="29">
        <f>SUM($F85:K$85)</f>
        <v>15262.75</v>
      </c>
      <c r="L86" s="29">
        <f>SUM($F85:L$85)</f>
        <v>19289.025000000001</v>
      </c>
      <c r="M86" s="29">
        <f>SUM($F85:M$85)</f>
        <v>23717.927500000002</v>
      </c>
      <c r="N86" s="29">
        <f>SUM($F85:N$85)</f>
        <v>28589.720250000002</v>
      </c>
      <c r="O86" s="29">
        <f>SUM($F85:O$85)</f>
        <v>33948.692275000001</v>
      </c>
      <c r="P86" s="29">
        <f>SUM($F85:P$85)</f>
        <v>39843.561502500001</v>
      </c>
      <c r="Q86" s="29">
        <f>SUM($F85:Q$85)</f>
        <v>46327.917652750002</v>
      </c>
      <c r="R86" s="29">
        <f>SUM($F85:R$85)</f>
        <v>53460.709418024999</v>
      </c>
      <c r="S86" s="29">
        <f>SUM($F85:S$85)</f>
        <v>61306.780359827499</v>
      </c>
      <c r="T86" s="29">
        <f>SUM($F85:T$85)</f>
        <v>69937.458395810245</v>
      </c>
      <c r="U86" s="29">
        <f>SUM($F85:U$85)</f>
        <v>79431.204235391269</v>
      </c>
      <c r="V86" s="29">
        <f>SUM($F85:V$85)</f>
        <v>89874.324658930389</v>
      </c>
      <c r="W86" s="29">
        <f>SUM($F85:W$85)</f>
        <v>101361.75712482343</v>
      </c>
      <c r="X86" s="29">
        <f>SUM($F85:X$85)</f>
        <v>113997.93283730578</v>
      </c>
      <c r="Y86" s="29">
        <f>SUM($F85:Y$85)</f>
        <v>127897.72612103636</v>
      </c>
    </row>
    <row r="87" spans="1:33" x14ac:dyDescent="0.25">
      <c r="A87" s="109" t="s">
        <v>236</v>
      </c>
      <c r="B87" t="s">
        <v>147</v>
      </c>
      <c r="E87" s="60"/>
      <c r="F87" s="29">
        <f>'Device Cost Input'!H19</f>
        <v>0</v>
      </c>
      <c r="G87" s="29">
        <f>'Device Cost Input'!I19</f>
        <v>262.65999999999997</v>
      </c>
      <c r="H87" s="29">
        <f>'Device Cost Input'!J19</f>
        <v>262.65999999999997</v>
      </c>
      <c r="I87" s="29">
        <f>'Device Cost Input'!K19</f>
        <v>262.65999999999997</v>
      </c>
      <c r="J87" s="29">
        <f>'Device Cost Input'!L19</f>
        <v>262.65999999999997</v>
      </c>
      <c r="K87" s="29">
        <f>'Device Cost Input'!M19</f>
        <v>262.65999999999997</v>
      </c>
      <c r="L87" s="29">
        <f>'Device Cost Input'!N19</f>
        <v>0</v>
      </c>
      <c r="M87" s="29">
        <f>'Device Cost Input'!O19</f>
        <v>0</v>
      </c>
      <c r="N87" s="29">
        <f>'Device Cost Input'!P19</f>
        <v>0</v>
      </c>
      <c r="O87" s="29">
        <f>'Device Cost Input'!Q19</f>
        <v>0</v>
      </c>
      <c r="P87" s="29">
        <f>'Device Cost Input'!R19</f>
        <v>0</v>
      </c>
      <c r="Q87" s="29">
        <f>'Device Cost Input'!S19</f>
        <v>0</v>
      </c>
      <c r="R87" s="29">
        <f>'Device Cost Input'!T19</f>
        <v>0</v>
      </c>
      <c r="S87" s="29">
        <f>'Device Cost Input'!U19</f>
        <v>0</v>
      </c>
      <c r="T87" s="29">
        <f>'Device Cost Input'!V19</f>
        <v>0</v>
      </c>
      <c r="U87" s="29">
        <f>'Device Cost Input'!W19</f>
        <v>0</v>
      </c>
      <c r="V87" s="29">
        <f>'Device Cost Input'!X19</f>
        <v>0</v>
      </c>
      <c r="W87" s="29">
        <f>'Device Cost Input'!Y19</f>
        <v>0</v>
      </c>
      <c r="X87" s="29">
        <f>'Device Cost Input'!Z19</f>
        <v>0</v>
      </c>
      <c r="Y87" s="29">
        <f>'Device Cost Input'!AA19</f>
        <v>0</v>
      </c>
    </row>
    <row r="88" spans="1:33" x14ac:dyDescent="0.25">
      <c r="A88" s="109" t="s">
        <v>238</v>
      </c>
      <c r="B88" t="s">
        <v>147</v>
      </c>
      <c r="E88" s="60"/>
      <c r="F88" s="29">
        <f>SUM($F$87:F87)</f>
        <v>0</v>
      </c>
      <c r="G88" s="29">
        <f>SUM($F$87:G87)</f>
        <v>262.65999999999997</v>
      </c>
      <c r="H88" s="29">
        <f>SUM($F$87:H87)</f>
        <v>525.31999999999994</v>
      </c>
      <c r="I88" s="29">
        <f>SUM($F$87:I87)</f>
        <v>787.9799999999999</v>
      </c>
      <c r="J88" s="29">
        <f>SUM($F$87:J87)</f>
        <v>1050.6399999999999</v>
      </c>
      <c r="K88" s="29">
        <f>SUM($F$87:K87)</f>
        <v>1313.2999999999997</v>
      </c>
      <c r="L88" s="29">
        <f>SUM($F$87:L87)</f>
        <v>1313.2999999999997</v>
      </c>
      <c r="M88" s="29">
        <f>SUM($F$87:M87)</f>
        <v>1313.2999999999997</v>
      </c>
      <c r="N88" s="29">
        <f>SUM($F$87:N87)</f>
        <v>1313.2999999999997</v>
      </c>
      <c r="O88" s="29">
        <f>SUM($F$87:O87)</f>
        <v>1313.2999999999997</v>
      </c>
      <c r="P88" s="29">
        <f>SUM($F$87:P87)</f>
        <v>1313.2999999999997</v>
      </c>
      <c r="Q88" s="29">
        <f>SUM($F$87:Q87)</f>
        <v>1313.2999999999997</v>
      </c>
      <c r="R88" s="29">
        <f>SUM($F$87:R87)</f>
        <v>1313.2999999999997</v>
      </c>
      <c r="S88" s="29">
        <f>SUM($F$87:S87)</f>
        <v>1313.2999999999997</v>
      </c>
      <c r="T88" s="29">
        <f>SUM($F$87:T87)</f>
        <v>1313.2999999999997</v>
      </c>
      <c r="U88" s="29">
        <f>SUM($F$87:U87)</f>
        <v>1313.2999999999997</v>
      </c>
      <c r="V88" s="29">
        <f>SUM($F$87:V87)</f>
        <v>1313.2999999999997</v>
      </c>
      <c r="W88" s="29">
        <f>SUM($F$87:W87)</f>
        <v>1313.2999999999997</v>
      </c>
      <c r="X88" s="29">
        <f>SUM($F$87:X87)</f>
        <v>1313.2999999999997</v>
      </c>
      <c r="Y88" s="29">
        <f>SUM($F$87:Y87)</f>
        <v>1313.2999999999997</v>
      </c>
    </row>
    <row r="89" spans="1:33" x14ac:dyDescent="0.25">
      <c r="A89" s="109" t="s">
        <v>137</v>
      </c>
      <c r="B89" t="s">
        <v>61</v>
      </c>
      <c r="E89" s="60"/>
      <c r="F89" s="7">
        <f>F86*Initiative9_Average_kVA_saved_per_customer/1000+F88*'Benefit Input Pars'!$B$71/1000</f>
        <v>0</v>
      </c>
      <c r="G89" s="7">
        <f>G86*Initiative9_Average_kVA_saved_per_customer/1000+G88*'Benefit Input Pars'!$B$71/1000</f>
        <v>3.8132999999999999</v>
      </c>
      <c r="H89" s="7">
        <f>H86*Initiative9_Average_kVA_saved_per_customer/1000+H88*'Benefit Input Pars'!$B$71/1000</f>
        <v>7.8765999999999998</v>
      </c>
      <c r="I89" s="7">
        <f>I86*Initiative9_Average_kVA_saved_per_customer/1000+I88*'Benefit Input Pars'!$B$71/1000</f>
        <v>12.2149</v>
      </c>
      <c r="J89" s="7">
        <f>J86*Initiative9_Average_kVA_saved_per_customer/1000+J88*'Benefit Input Pars'!$B$71/1000</f>
        <v>16.855699999999999</v>
      </c>
      <c r="K89" s="7">
        <f>K86*Initiative9_Average_kVA_saved_per_customer/1000+K88*'Benefit Input Pars'!$B$71/1000</f>
        <v>21.829249999999998</v>
      </c>
      <c r="L89" s="7">
        <f>L86*Initiative9_Average_kVA_saved_per_customer/1000+L88*'Benefit Input Pars'!$B$71/1000</f>
        <v>25.855525</v>
      </c>
      <c r="M89" s="7">
        <f>M86*Initiative9_Average_kVA_saved_per_customer/1000+M88*'Benefit Input Pars'!$B$71/1000</f>
        <v>30.2844275</v>
      </c>
      <c r="N89" s="7">
        <f>N86*Initiative9_Average_kVA_saved_per_customer/1000+N88*'Benefit Input Pars'!$B$71/1000</f>
        <v>35.156220250000004</v>
      </c>
      <c r="O89" s="7">
        <f>O86*Initiative9_Average_kVA_saved_per_customer/1000+O88*'Benefit Input Pars'!$B$71/1000</f>
        <v>40.515192274999997</v>
      </c>
      <c r="P89" s="7">
        <f>P86*Initiative9_Average_kVA_saved_per_customer/1000+P88*'Benefit Input Pars'!$B$71/1000</f>
        <v>46.4100615025</v>
      </c>
      <c r="Q89" s="7">
        <f>Q86*Initiative9_Average_kVA_saved_per_customer/1000+Q88*'Benefit Input Pars'!$B$71/1000</f>
        <v>52.894417652750001</v>
      </c>
      <c r="R89" s="7">
        <f>R86*Initiative9_Average_kVA_saved_per_customer/1000+R88*'Benefit Input Pars'!$B$71/1000</f>
        <v>60.027209418024995</v>
      </c>
      <c r="S89" s="7">
        <f>S86*Initiative9_Average_kVA_saved_per_customer/1000+S88*'Benefit Input Pars'!$B$71/1000</f>
        <v>67.873280359827504</v>
      </c>
      <c r="T89" s="7">
        <f>T86*Initiative9_Average_kVA_saved_per_customer/1000+T88*'Benefit Input Pars'!$B$71/1000</f>
        <v>76.50395839581023</v>
      </c>
      <c r="U89" s="7">
        <f>U86*Initiative9_Average_kVA_saved_per_customer/1000+U88*'Benefit Input Pars'!$B$71/1000</f>
        <v>85.997704235391268</v>
      </c>
      <c r="V89" s="7">
        <f>V86*Initiative9_Average_kVA_saved_per_customer/1000+V88*'Benefit Input Pars'!$B$71/1000</f>
        <v>96.440824658930381</v>
      </c>
      <c r="W89" s="7">
        <f>W86*Initiative9_Average_kVA_saved_per_customer/1000+W88*'Benefit Input Pars'!$B$71/1000</f>
        <v>107.92825712482343</v>
      </c>
      <c r="X89" s="7">
        <f>X86*Initiative9_Average_kVA_saved_per_customer/1000+X88*'Benefit Input Pars'!$B$71/1000</f>
        <v>120.56443283730579</v>
      </c>
      <c r="Y89" s="7">
        <f>Y86*Initiative9_Average_kVA_saved_per_customer/1000+Y88*'Benefit Input Pars'!$B$71/1000</f>
        <v>134.46422612103638</v>
      </c>
    </row>
    <row r="90" spans="1:33" ht="15.75" x14ac:dyDescent="0.25">
      <c r="A90" s="109" t="s">
        <v>194</v>
      </c>
      <c r="B90" t="s">
        <v>61</v>
      </c>
      <c r="C90" s="4"/>
      <c r="D90" s="4"/>
      <c r="E90" s="60"/>
      <c r="F90" s="7">
        <f>'Time Series Data Inputs'!D42</f>
        <v>0</v>
      </c>
      <c r="G90" s="7">
        <f>'Time Series Data Inputs'!E42</f>
        <v>3.8132999999999999</v>
      </c>
      <c r="H90" s="7">
        <f>'Time Series Data Inputs'!F42</f>
        <v>4.0632999999999999</v>
      </c>
      <c r="I90" s="7">
        <f>'Time Series Data Inputs'!G42</f>
        <v>4.3383000000000003</v>
      </c>
      <c r="J90" s="7">
        <f>'Time Series Data Inputs'!H42</f>
        <v>4.6407999999999987</v>
      </c>
      <c r="K90" s="7">
        <f>'Time Series Data Inputs'!I42</f>
        <v>4.9735499999999995</v>
      </c>
      <c r="L90" s="7">
        <f>'Time Series Data Inputs'!J42</f>
        <v>4.0262750000000018</v>
      </c>
      <c r="M90" s="7">
        <f>'Time Series Data Inputs'!K42</f>
        <v>4.4289024999999995</v>
      </c>
      <c r="N90" s="7">
        <f>'Time Series Data Inputs'!L42</f>
        <v>4.8717927500000044</v>
      </c>
      <c r="O90" s="7">
        <f>'Time Series Data Inputs'!M42</f>
        <v>5.3589720249999928</v>
      </c>
      <c r="P90" s="7">
        <f>'Time Series Data Inputs'!N42</f>
        <v>5.8948692275000028</v>
      </c>
      <c r="Q90" s="7">
        <f>'Time Series Data Inputs'!O42</f>
        <v>6.4843561502500009</v>
      </c>
      <c r="R90" s="7">
        <f>'Time Series Data Inputs'!P42</f>
        <v>7.1327917652749946</v>
      </c>
      <c r="S90" s="7">
        <f>'Time Series Data Inputs'!Q42</f>
        <v>7.846070941802509</v>
      </c>
      <c r="T90" s="7">
        <f>'Time Series Data Inputs'!R42</f>
        <v>8.6306780359827258</v>
      </c>
      <c r="U90" s="7">
        <f>'Time Series Data Inputs'!S42</f>
        <v>9.4937458395810381</v>
      </c>
      <c r="V90" s="7">
        <f>'Time Series Data Inputs'!T42</f>
        <v>10.443120423539114</v>
      </c>
      <c r="W90" s="7">
        <f>'Time Series Data Inputs'!U42</f>
        <v>11.48743246589305</v>
      </c>
      <c r="X90" s="7">
        <f>'Time Series Data Inputs'!V42</f>
        <v>12.636175712482355</v>
      </c>
      <c r="Y90" s="7">
        <f>'Time Series Data Inputs'!W42</f>
        <v>13.899793283730588</v>
      </c>
      <c r="Z90" s="7"/>
      <c r="AA90" s="7"/>
      <c r="AB90" s="7"/>
      <c r="AC90" s="7"/>
      <c r="AD90" s="7"/>
      <c r="AE90" s="7"/>
      <c r="AF90" s="7"/>
      <c r="AG90" s="7"/>
    </row>
    <row r="91" spans="1:33" ht="15.75" x14ac:dyDescent="0.25">
      <c r="A91" s="109" t="s">
        <v>62</v>
      </c>
      <c r="B91" t="s">
        <v>7</v>
      </c>
      <c r="C91" s="3" t="s">
        <v>9</v>
      </c>
      <c r="D91" s="3">
        <f>SUMPRODUCT(F91:Y91,F$6:Y$6)</f>
        <v>61.661784923384204</v>
      </c>
      <c r="E91" s="59">
        <f>SUM(F91:Y91)</f>
        <v>87.944890655889864</v>
      </c>
      <c r="F91" s="7">
        <f>IF(F4&lt;MAX('Platform Cost Inputs'!$H$15:$H$20),0,IF(F5&gt;=Initiative9_Year_when_Option_1_Customer_Load_Monitoring_and_Optimisation_Available,(F90*'Benefit Input Pars'!$B$14*1000)/Million,0))</f>
        <v>0</v>
      </c>
      <c r="G91" s="7">
        <f>IF(G4&lt;MAX('Platform Cost Inputs'!$H$15:$H$20),0,IF(G5&gt;=Initiative9_Year_when_Option_1_Customer_Load_Monitoring_and_Optimisation_Available,(G90*'Benefit Input Pars'!$B$14*1000)/Million,0))</f>
        <v>0</v>
      </c>
      <c r="H91" s="7">
        <f>IF(H4&lt;MAX('Platform Cost Inputs'!$H$15:$H$20),0,IF(H5&gt;=Initiative9_Year_when_Option_1_Customer_Load_Monitoring_and_Optimisation_Available,(H90*'Benefit Input Pars'!$B$14*1000)/Million,0))</f>
        <v>0</v>
      </c>
      <c r="I91" s="7">
        <f>IF(I4&lt;MAX('Platform Cost Inputs'!$H$15:$H$20),0,IF(I5&gt;=Initiative9_Year_when_Option_1_Customer_Load_Monitoring_and_Optimisation_Available,(I90*'Benefit Input Pars'!$B$14*1000)/Million,0))</f>
        <v>3.0139700918922916</v>
      </c>
      <c r="J91" s="7">
        <f>IF(J4&lt;MAX('Platform Cost Inputs'!$H$15:$H$20),0,IF(J5&gt;=Initiative9_Year_when_Option_1_Customer_Load_Monitoring_and_Optimisation_Available,(J90*'Benefit Input Pars'!$B$14*1000)/Million,0))</f>
        <v>3.2241275159518112</v>
      </c>
      <c r="K91" s="7">
        <f>IF(K4&lt;MAX('Platform Cost Inputs'!$H$15:$H$20),0,IF(K5&gt;=Initiative9_Year_when_Option_1_Customer_Load_Monitoring_and_Optimisation_Available,(K90*'Benefit Input Pars'!$B$14*1000)/Million,0))</f>
        <v>3.4553006824172843</v>
      </c>
      <c r="L91" s="7">
        <f>IF(L4&lt;MAX('Platform Cost Inputs'!$H$15:$H$20),0,IF(L5&gt;=Initiative9_Year_when_Option_1_Customer_Load_Monitoring_and_Optimisation_Available,(L90*'Benefit Input Pars'!$B$14*1000)/Million,0))</f>
        <v>2.7971953142322206</v>
      </c>
      <c r="M91" s="7">
        <f>IF(M4&lt;MAX('Platform Cost Inputs'!$H$15:$H$20),0,IF(M5&gt;=Initiative9_Year_when_Option_1_Customer_Load_Monitoring_and_Optimisation_Available,(M90*'Benefit Input Pars'!$B$14*1000)/Million,0))</f>
        <v>3.0769148456554407</v>
      </c>
      <c r="N91" s="7">
        <f>IF(N4&lt;MAX('Platform Cost Inputs'!$H$15:$H$20),0,IF(N5&gt;=Initiative9_Year_when_Option_1_Customer_Load_Monitoring_and_Optimisation_Available,(N90*'Benefit Input Pars'!$B$14*1000)/Million,0))</f>
        <v>3.3846063302209881</v>
      </c>
      <c r="O91" s="7">
        <f>IF(O4&lt;MAX('Platform Cost Inputs'!$H$15:$H$20),0,IF(O5&gt;=Initiative9_Year_when_Option_1_Customer_Load_Monitoring_and_Optimisation_Available,(O90*'Benefit Input Pars'!$B$14*1000)/Million,0))</f>
        <v>3.7230669632430784</v>
      </c>
      <c r="P91" s="7">
        <f>IF(P4&lt;MAX('Platform Cost Inputs'!$H$15:$H$20),0,IF(P5&gt;=Initiative9_Year_when_Option_1_Customer_Load_Monitoring_and_Optimisation_Available,(P90*'Benefit Input Pars'!$B$14*1000)/Million,0))</f>
        <v>4.095373659567394</v>
      </c>
      <c r="Q91" s="7">
        <f>IF(Q4&lt;MAX('Platform Cost Inputs'!$H$15:$H$20),0,IF(Q5&gt;=Initiative9_Year_when_Option_1_Customer_Load_Monitoring_and_Optimisation_Available,(Q90*'Benefit Input Pars'!$B$14*1000)/Million,0))</f>
        <v>4.504911025524132</v>
      </c>
      <c r="R91" s="7">
        <f>IF(R4&lt;MAX('Platform Cost Inputs'!$H$15:$H$20),0,IF(R5&gt;=Initiative9_Year_when_Option_1_Customer_Load_Monitoring_and_Optimisation_Available,(R90*'Benefit Input Pars'!$B$14*1000)/Million,0))</f>
        <v>4.9554021280765417</v>
      </c>
      <c r="S91" s="7">
        <f>IF(S4&lt;MAX('Platform Cost Inputs'!$H$15:$H$20),0,IF(S5&gt;=Initiative9_Year_when_Option_1_Customer_Load_Monitoring_and_Optimisation_Available,(S90*'Benefit Input Pars'!$B$14*1000)/Million,0))</f>
        <v>5.4509423408842048</v>
      </c>
      <c r="T91" s="7">
        <f>IF(T4&lt;MAX('Platform Cost Inputs'!$H$15:$H$20),0,IF(T5&gt;=Initiative9_Year_when_Option_1_Customer_Load_Monitoring_and_Optimisation_Available,(T90*'Benefit Input Pars'!$B$14*1000)/Million,0))</f>
        <v>5.9960365749726012</v>
      </c>
      <c r="U91" s="7">
        <f>IF(U4&lt;MAX('Platform Cost Inputs'!$H$15:$H$20),0,IF(U5&gt;=Initiative9_Year_when_Option_1_Customer_Load_Monitoring_and_Optimisation_Available,(U90*'Benefit Input Pars'!$B$14*1000)/Million,0))</f>
        <v>6.59564023246989</v>
      </c>
      <c r="V91" s="7">
        <f>IF(V4&lt;MAX('Platform Cost Inputs'!$H$15:$H$20),0,IF(V5&gt;=Initiative9_Year_when_Option_1_Customer_Load_Monitoring_and_Optimisation_Available,(V90*'Benefit Input Pars'!$B$14*1000)/Million,0))</f>
        <v>7.2552042557168583</v>
      </c>
      <c r="W91" s="7">
        <f>IF(W4&lt;MAX('Platform Cost Inputs'!$H$15:$H$20),0,IF(W5&gt;=Initiative9_Year_when_Option_1_Customer_Load_Monitoring_and_Optimisation_Available,(W90*'Benefit Input Pars'!$B$14*1000)/Million,0))</f>
        <v>7.9807246812885628</v>
      </c>
      <c r="X91" s="7">
        <f>IF(X4&lt;MAX('Platform Cost Inputs'!$H$15:$H$20),0,IF(X5&gt;=Initiative9_Year_when_Option_1_Customer_Load_Monitoring_and_Optimisation_Available,(X90*'Benefit Input Pars'!$B$14*1000)/Million,0))</f>
        <v>8.7787971494174197</v>
      </c>
      <c r="Y91" s="7">
        <f>IF(Y4&lt;MAX('Platform Cost Inputs'!$H$15:$H$20),0,IF(Y5&gt;=Initiative9_Year_when_Option_1_Customer_Load_Monitoring_and_Optimisation_Available,(Y90*'Benefit Input Pars'!$B$14*1000)/Million,0))</f>
        <v>9.6566768643591594</v>
      </c>
      <c r="Z91" s="7"/>
      <c r="AA91" s="7"/>
      <c r="AB91" s="7"/>
      <c r="AC91" s="7"/>
      <c r="AD91" s="7"/>
      <c r="AE91" s="7"/>
      <c r="AF91" s="7"/>
      <c r="AG91" s="7"/>
    </row>
    <row r="92" spans="1:33" x14ac:dyDescent="0.25">
      <c r="A92" s="109" t="s">
        <v>144</v>
      </c>
      <c r="B92" t="s">
        <v>147</v>
      </c>
      <c r="E92" s="60"/>
      <c r="F92" s="29">
        <f t="shared" ref="F92:Y92" si="21">IF(F5=Initiative9_Year_when_Hot_Water_and_Solar_load_control_program_begins,Initiative9_Initial_number_of_solar_customers_that_are_export_constrained_where_VPN_use_Flexible_Grid_to_control_chargin,0)+IF(F5&gt;Initiative9_Year_when_Hot_Water_and_Solar_load_control_program_begins, IInitiative9_Increase_in_number_of_solar_customers_that_are_export_constrained_where_VPN_use_Flexible_Grid_to_control_chargin,0)</f>
        <v>0</v>
      </c>
      <c r="G92" s="29">
        <f t="shared" si="21"/>
        <v>2500</v>
      </c>
      <c r="H92" s="29">
        <f t="shared" si="21"/>
        <v>1000</v>
      </c>
      <c r="I92" s="29">
        <f t="shared" si="21"/>
        <v>1000</v>
      </c>
      <c r="J92" s="29">
        <f t="shared" si="21"/>
        <v>1000</v>
      </c>
      <c r="K92" s="29">
        <f t="shared" si="21"/>
        <v>1000</v>
      </c>
      <c r="L92" s="29">
        <f t="shared" si="21"/>
        <v>1000</v>
      </c>
      <c r="M92" s="29">
        <f t="shared" si="21"/>
        <v>1000</v>
      </c>
      <c r="N92" s="29">
        <f t="shared" si="21"/>
        <v>1000</v>
      </c>
      <c r="O92" s="29">
        <f t="shared" si="21"/>
        <v>1000</v>
      </c>
      <c r="P92" s="29">
        <f t="shared" si="21"/>
        <v>1000</v>
      </c>
      <c r="Q92" s="29">
        <f t="shared" si="21"/>
        <v>1000</v>
      </c>
      <c r="R92" s="29">
        <f t="shared" si="21"/>
        <v>1000</v>
      </c>
      <c r="S92" s="29">
        <f t="shared" si="21"/>
        <v>1000</v>
      </c>
      <c r="T92" s="29">
        <f t="shared" si="21"/>
        <v>1000</v>
      </c>
      <c r="U92" s="29">
        <f t="shared" si="21"/>
        <v>1000</v>
      </c>
      <c r="V92" s="29">
        <f t="shared" si="21"/>
        <v>1000</v>
      </c>
      <c r="W92" s="29">
        <f t="shared" si="21"/>
        <v>1000</v>
      </c>
      <c r="X92" s="29">
        <f t="shared" si="21"/>
        <v>1000</v>
      </c>
      <c r="Y92" s="29">
        <f t="shared" si="21"/>
        <v>1000</v>
      </c>
    </row>
    <row r="93" spans="1:33" x14ac:dyDescent="0.25">
      <c r="A93" s="109" t="s">
        <v>145</v>
      </c>
      <c r="B93" t="s">
        <v>147</v>
      </c>
      <c r="E93" s="60"/>
      <c r="F93" s="29">
        <f>SUM($F$92:F92)</f>
        <v>0</v>
      </c>
      <c r="G93" s="29">
        <f>SUM($F$92:G92)</f>
        <v>2500</v>
      </c>
      <c r="H93" s="29">
        <f>SUM($F$92:H92)</f>
        <v>3500</v>
      </c>
      <c r="I93" s="29">
        <f>SUM($F$92:I92)</f>
        <v>4500</v>
      </c>
      <c r="J93" s="29">
        <f>SUM($F$92:J92)</f>
        <v>5500</v>
      </c>
      <c r="K93" s="29">
        <f>SUM($F$92:K92)</f>
        <v>6500</v>
      </c>
      <c r="L93" s="29">
        <f>SUM($F$92:L92)</f>
        <v>7500</v>
      </c>
      <c r="M93" s="29">
        <f>SUM($F$92:M92)</f>
        <v>8500</v>
      </c>
      <c r="N93" s="29">
        <f>SUM($F$92:N92)</f>
        <v>9500</v>
      </c>
      <c r="O93" s="29">
        <f>SUM($F$92:O92)</f>
        <v>10500</v>
      </c>
      <c r="P93" s="29">
        <f>SUM($F$92:P92)</f>
        <v>11500</v>
      </c>
      <c r="Q93" s="29">
        <f>SUM($F$92:Q92)</f>
        <v>12500</v>
      </c>
      <c r="R93" s="29">
        <f>SUM($F$92:R92)</f>
        <v>13500</v>
      </c>
      <c r="S93" s="29">
        <f>SUM($F$92:S92)</f>
        <v>14500</v>
      </c>
      <c r="T93" s="29">
        <f>SUM($F$92:T92)</f>
        <v>15500</v>
      </c>
      <c r="U93" s="29">
        <f>SUM($F$92:U92)</f>
        <v>16500</v>
      </c>
      <c r="V93" s="29">
        <f>SUM($F$92:V92)</f>
        <v>17500</v>
      </c>
      <c r="W93" s="29">
        <f>SUM($F$92:W92)</f>
        <v>18500</v>
      </c>
      <c r="X93" s="29">
        <f>SUM($F$92:X92)</f>
        <v>19500</v>
      </c>
      <c r="Y93" s="29">
        <f>SUM($F$92:Y92)</f>
        <v>20500</v>
      </c>
    </row>
    <row r="94" spans="1:33" x14ac:dyDescent="0.25">
      <c r="A94" s="109" t="s">
        <v>140</v>
      </c>
      <c r="B94" t="s">
        <v>146</v>
      </c>
      <c r="E94" s="60"/>
      <c r="F94" s="29">
        <f t="shared" ref="F94:Y94" si="22">F93*Initiative9_Average_annual_kWh_now_useful</f>
        <v>0</v>
      </c>
      <c r="G94" s="29">
        <f t="shared" si="22"/>
        <v>3037500</v>
      </c>
      <c r="H94" s="29">
        <f t="shared" si="22"/>
        <v>4252500</v>
      </c>
      <c r="I94" s="29">
        <f t="shared" si="22"/>
        <v>5467500</v>
      </c>
      <c r="J94" s="29">
        <f t="shared" si="22"/>
        <v>6682500</v>
      </c>
      <c r="K94" s="29">
        <f t="shared" si="22"/>
        <v>7897500</v>
      </c>
      <c r="L94" s="29">
        <f t="shared" si="22"/>
        <v>9112500</v>
      </c>
      <c r="M94" s="29">
        <f t="shared" si="22"/>
        <v>10327500</v>
      </c>
      <c r="N94" s="29">
        <f t="shared" si="22"/>
        <v>11542500</v>
      </c>
      <c r="O94" s="29">
        <f t="shared" si="22"/>
        <v>12757500</v>
      </c>
      <c r="P94" s="29">
        <f t="shared" si="22"/>
        <v>13972500</v>
      </c>
      <c r="Q94" s="29">
        <f t="shared" si="22"/>
        <v>15187500</v>
      </c>
      <c r="R94" s="29">
        <f t="shared" si="22"/>
        <v>16402500</v>
      </c>
      <c r="S94" s="29">
        <f t="shared" si="22"/>
        <v>17617500</v>
      </c>
      <c r="T94" s="29">
        <f t="shared" si="22"/>
        <v>18832500</v>
      </c>
      <c r="U94" s="29">
        <f t="shared" si="22"/>
        <v>20047500</v>
      </c>
      <c r="V94" s="29">
        <f t="shared" si="22"/>
        <v>21262500</v>
      </c>
      <c r="W94" s="29">
        <f t="shared" si="22"/>
        <v>22477500</v>
      </c>
      <c r="X94" s="29">
        <f t="shared" si="22"/>
        <v>23692500</v>
      </c>
      <c r="Y94" s="29">
        <f t="shared" si="22"/>
        <v>24907500</v>
      </c>
    </row>
    <row r="95" spans="1:33" ht="15.75" x14ac:dyDescent="0.25">
      <c r="A95" s="156" t="s">
        <v>141</v>
      </c>
      <c r="B95" s="91" t="s">
        <v>7</v>
      </c>
      <c r="C95" s="202" t="s">
        <v>9</v>
      </c>
      <c r="D95" s="202">
        <f>SUMPRODUCT(F95:Y95,F$6:Y$6)</f>
        <v>19.884673520549704</v>
      </c>
      <c r="E95" s="204">
        <f>SUM(F95:Y95)</f>
        <v>28.400624999999998</v>
      </c>
      <c r="F95" s="205">
        <f>IF(F4&lt;MAX('Platform Cost Inputs'!$H$15:$H$20),0,IF(F5&gt;=Initiative9_Year_when_Hot_Water_and_Solar_load_control_program_begins,F94*Initiative9_Avoided_wholesale_cost_of_KWh/100/Million,0))</f>
        <v>0</v>
      </c>
      <c r="G95" s="205">
        <f>IF(G4&lt;MAX('Platform Cost Inputs'!$H$15:$H$20),0,IF(G5&gt;=Initiative9_Year_when_Hot_Water_and_Solar_load_control_program_begins,G94*Initiative9_Avoided_wholesale_cost_of_KWh/100/Million,0))</f>
        <v>0</v>
      </c>
      <c r="H95" s="205">
        <f>IF(H4&lt;MAX('Platform Cost Inputs'!$H$15:$H$20),0,IF(H5&gt;=Initiative9_Year_when_Hot_Water_and_Solar_load_control_program_begins,H94*Initiative9_Avoided_wholesale_cost_of_KWh/100/Million,0))</f>
        <v>0</v>
      </c>
      <c r="I95" s="205">
        <f>IF(I4&lt;MAX('Platform Cost Inputs'!$H$15:$H$20),0,IF(I5&gt;=Initiative9_Year_when_Hot_Water_and_Solar_load_control_program_begins,I94*Initiative9_Avoided_wholesale_cost_of_KWh/100/Million,0))</f>
        <v>0.60142499999999999</v>
      </c>
      <c r="J95" s="205">
        <f>IF(J4&lt;MAX('Platform Cost Inputs'!$H$15:$H$20),0,IF(J5&gt;=Initiative9_Year_when_Hot_Water_and_Solar_load_control_program_begins,J94*Initiative9_Avoided_wholesale_cost_of_KWh/100/Million,0))</f>
        <v>0.73507500000000003</v>
      </c>
      <c r="K95" s="205">
        <f>IF(K4&lt;MAX('Platform Cost Inputs'!$H$15:$H$20),0,IF(K5&gt;=Initiative9_Year_when_Hot_Water_and_Solar_load_control_program_begins,K94*Initiative9_Avoided_wholesale_cost_of_KWh/100/Million,0))</f>
        <v>0.86872499999999997</v>
      </c>
      <c r="L95" s="205">
        <f>IF(L4&lt;MAX('Platform Cost Inputs'!$H$15:$H$20),0,IF(L5&gt;=Initiative9_Year_when_Hot_Water_and_Solar_load_control_program_begins,L94*Initiative9_Avoided_wholesale_cost_of_KWh/100/Million,0))</f>
        <v>1.002375</v>
      </c>
      <c r="M95" s="205">
        <f>IF(M4&lt;MAX('Platform Cost Inputs'!$H$15:$H$20),0,IF(M5&gt;=Initiative9_Year_when_Hot_Water_and_Solar_load_control_program_begins,M94*Initiative9_Avoided_wholesale_cost_of_KWh/100/Million,0))</f>
        <v>1.1360250000000001</v>
      </c>
      <c r="N95" s="205">
        <f>IF(N4&lt;MAX('Platform Cost Inputs'!$H$15:$H$20),0,IF(N5&gt;=Initiative9_Year_when_Hot_Water_and_Solar_load_control_program_begins,N94*Initiative9_Avoided_wholesale_cost_of_KWh/100/Million,0))</f>
        <v>1.2696750000000001</v>
      </c>
      <c r="O95" s="205">
        <f>IF(O4&lt;MAX('Platform Cost Inputs'!$H$15:$H$20),0,IF(O5&gt;=Initiative9_Year_when_Hot_Water_and_Solar_load_control_program_begins,O94*Initiative9_Avoided_wholesale_cost_of_KWh/100/Million,0))</f>
        <v>1.4033249999999999</v>
      </c>
      <c r="P95" s="205">
        <f>IF(P4&lt;MAX('Platform Cost Inputs'!$H$15:$H$20),0,IF(P5&gt;=Initiative9_Year_when_Hot_Water_and_Solar_load_control_program_begins,P94*Initiative9_Avoided_wholesale_cost_of_KWh/100/Million,0))</f>
        <v>1.536975</v>
      </c>
      <c r="Q95" s="205">
        <f>IF(Q4&lt;MAX('Platform Cost Inputs'!$H$15:$H$20),0,IF(Q5&gt;=Initiative9_Year_when_Hot_Water_and_Solar_load_control_program_begins,Q94*Initiative9_Avoided_wholesale_cost_of_KWh/100/Million,0))</f>
        <v>1.670625</v>
      </c>
      <c r="R95" s="205">
        <f>IF(R4&lt;MAX('Platform Cost Inputs'!$H$15:$H$20),0,IF(R5&gt;=Initiative9_Year_when_Hot_Water_and_Solar_load_control_program_begins,R94*Initiative9_Avoided_wholesale_cost_of_KWh/100/Million,0))</f>
        <v>1.8042750000000001</v>
      </c>
      <c r="S95" s="205">
        <f>IF(S4&lt;MAX('Platform Cost Inputs'!$H$15:$H$20),0,IF(S5&gt;=Initiative9_Year_when_Hot_Water_and_Solar_load_control_program_begins,S94*Initiative9_Avoided_wholesale_cost_of_KWh/100/Million,0))</f>
        <v>1.9379249999999999</v>
      </c>
      <c r="T95" s="205">
        <f>IF(T4&lt;MAX('Platform Cost Inputs'!$H$15:$H$20),0,IF(T5&gt;=Initiative9_Year_when_Hot_Water_and_Solar_load_control_program_begins,T94*Initiative9_Avoided_wholesale_cost_of_KWh/100/Million,0))</f>
        <v>2.0715750000000002</v>
      </c>
      <c r="U95" s="205">
        <f>IF(U4&lt;MAX('Platform Cost Inputs'!$H$15:$H$20),0,IF(U5&gt;=Initiative9_Year_when_Hot_Water_and_Solar_load_control_program_begins,U94*Initiative9_Avoided_wholesale_cost_of_KWh/100/Million,0))</f>
        <v>2.205225</v>
      </c>
      <c r="V95" s="205">
        <f>IF(V4&lt;MAX('Platform Cost Inputs'!$H$15:$H$20),0,IF(V5&gt;=Initiative9_Year_when_Hot_Water_and_Solar_load_control_program_begins,V94*Initiative9_Avoided_wholesale_cost_of_KWh/100/Million,0))</f>
        <v>2.3388749999999998</v>
      </c>
      <c r="W95" s="205">
        <f>IF(W4&lt;MAX('Platform Cost Inputs'!$H$15:$H$20),0,IF(W5&gt;=Initiative9_Year_when_Hot_Water_and_Solar_load_control_program_begins,W94*Initiative9_Avoided_wholesale_cost_of_KWh/100/Million,0))</f>
        <v>2.4725250000000001</v>
      </c>
      <c r="X95" s="205">
        <f>IF(X4&lt;MAX('Platform Cost Inputs'!$H$15:$H$20),0,IF(X5&gt;=Initiative9_Year_when_Hot_Water_and_Solar_load_control_program_begins,X94*Initiative9_Avoided_wholesale_cost_of_KWh/100/Million,0))</f>
        <v>2.6061749999999999</v>
      </c>
      <c r="Y95" s="205">
        <f>IF(Y4&lt;MAX('Platform Cost Inputs'!$H$15:$H$20),0,IF(Y5&gt;=Initiative9_Year_when_Hot_Water_and_Solar_load_control_program_begins,Y94*Initiative9_Avoided_wholesale_cost_of_KWh/100/Million,0))</f>
        <v>2.7398250000000002</v>
      </c>
    </row>
    <row r="96" spans="1:33" x14ac:dyDescent="0.25">
      <c r="A96" s="109"/>
      <c r="E96" s="60"/>
    </row>
    <row r="97" spans="1:33" ht="15.75" x14ac:dyDescent="0.25">
      <c r="A97" s="201" t="s">
        <v>262</v>
      </c>
      <c r="C97" s="3" t="s">
        <v>9</v>
      </c>
      <c r="D97" s="3">
        <f>SUMPRODUCT(F97:Y97,F$6:Y$6)</f>
        <v>185.21316914531226</v>
      </c>
      <c r="E97" s="59">
        <f>SUM(F97:Y97)</f>
        <v>261.30726716614475</v>
      </c>
      <c r="F97" s="7">
        <f t="shared" ref="F97:Y97" si="23">IF(F5&lt;=Project_Assessment_Period,SUM(F53,F56,F60,F69,F74,F82,F91,F95),0)</f>
        <v>0</v>
      </c>
      <c r="G97" s="7">
        <f t="shared" si="23"/>
        <v>0.2845458555</v>
      </c>
      <c r="H97" s="7">
        <f t="shared" si="23"/>
        <v>0.42110825377499994</v>
      </c>
      <c r="I97" s="7">
        <f t="shared" si="23"/>
        <v>10.58618285250064</v>
      </c>
      <c r="J97" s="7">
        <f t="shared" si="23"/>
        <v>11.474319430028531</v>
      </c>
      <c r="K97" s="7">
        <f t="shared" si="23"/>
        <v>12.573035375886583</v>
      </c>
      <c r="L97" s="7">
        <f t="shared" si="23"/>
        <v>7.4745473968705332</v>
      </c>
      <c r="M97" s="7">
        <f t="shared" si="23"/>
        <v>8.5073804032523661</v>
      </c>
      <c r="N97" s="7">
        <f t="shared" si="23"/>
        <v>9.9198998946284931</v>
      </c>
      <c r="O97" s="7">
        <f t="shared" si="23"/>
        <v>10.85427834721111</v>
      </c>
      <c r="P97" s="7">
        <f t="shared" si="23"/>
        <v>12.615901371130478</v>
      </c>
      <c r="Q97" s="7">
        <f t="shared" si="23"/>
        <v>13.954598215569664</v>
      </c>
      <c r="R97" s="7">
        <f t="shared" si="23"/>
        <v>14.693602013770104</v>
      </c>
      <c r="S97" s="7">
        <f t="shared" si="23"/>
        <v>16.831344268110762</v>
      </c>
      <c r="T97" s="7">
        <f t="shared" si="23"/>
        <v>18.420419471435643</v>
      </c>
      <c r="U97" s="7">
        <f t="shared" si="23"/>
        <v>23.74421304040213</v>
      </c>
      <c r="V97" s="7">
        <f t="shared" si="23"/>
        <v>21.647311116515588</v>
      </c>
      <c r="W97" s="7">
        <f t="shared" si="23"/>
        <v>22.604312824180468</v>
      </c>
      <c r="X97" s="7">
        <f t="shared" si="23"/>
        <v>22.400573985368442</v>
      </c>
      <c r="Y97" s="7">
        <f t="shared" si="23"/>
        <v>22.299693050008241</v>
      </c>
    </row>
    <row r="98" spans="1:33" x14ac:dyDescent="0.25">
      <c r="A98" s="201" t="s">
        <v>268</v>
      </c>
      <c r="F98" s="80">
        <f ca="1">F97-'Cost Calcs'!G163</f>
        <v>-6.7182313333333337</v>
      </c>
      <c r="G98" s="80">
        <f ca="1">G97-'Cost Calcs'!H163</f>
        <v>-9.3436182986904779</v>
      </c>
      <c r="H98" s="80">
        <f ca="1">H97-'Cost Calcs'!I163</f>
        <v>-6.9638791470821424</v>
      </c>
      <c r="I98" s="80">
        <f ca="1">I97-'Cost Calcs'!J163</f>
        <v>4.5703885843158609</v>
      </c>
      <c r="J98" s="80">
        <f ca="1">J97-'Cost Calcs'!K163</f>
        <v>4.6399842123515178</v>
      </c>
      <c r="K98" s="80">
        <f ca="1">K97-'Cost Calcs'!L163</f>
        <v>6.9692579666950358</v>
      </c>
      <c r="L98" s="80">
        <f ca="1">L97-'Cost Calcs'!M163</f>
        <v>3.5809357186517792</v>
      </c>
      <c r="M98" s="80">
        <f ca="1">M97-'Cost Calcs'!N163</f>
        <v>1.1272709932983407</v>
      </c>
      <c r="N98" s="80">
        <f ca="1">N97-'Cost Calcs'!O163</f>
        <v>2.078579591595382</v>
      </c>
      <c r="O98" s="80">
        <f ca="1">O97-'Cost Calcs'!P163</f>
        <v>4.3928097967281357</v>
      </c>
      <c r="P98" s="80">
        <f ca="1">P97-'Cost Calcs'!Q163</f>
        <v>7.4936270497219706</v>
      </c>
      <c r="Q98" s="80">
        <f ca="1">Q97-'Cost Calcs'!R163</f>
        <v>8.344680296445059</v>
      </c>
      <c r="R98" s="80">
        <f ca="1">R97-'Cost Calcs'!S163</f>
        <v>9.65047272393703</v>
      </c>
      <c r="S98" s="80">
        <f ca="1">S97-'Cost Calcs'!T163</f>
        <v>11.491941084878826</v>
      </c>
      <c r="T98" s="80">
        <f ca="1">T97-'Cost Calcs'!U163</f>
        <v>9.3921602377334246</v>
      </c>
      <c r="U98" s="80">
        <f ca="1">U97-'Cost Calcs'!V163</f>
        <v>13.953150669391116</v>
      </c>
      <c r="V98" s="80">
        <f ca="1">V97-'Cost Calcs'!W163</f>
        <v>13.005705121677762</v>
      </c>
      <c r="W98" s="80">
        <f ca="1">W97-'Cost Calcs'!X163</f>
        <v>15.088237765888245</v>
      </c>
      <c r="X98" s="80">
        <f ca="1">X97-'Cost Calcs'!Y163</f>
        <v>14.222488031829277</v>
      </c>
      <c r="Y98" s="80">
        <f ca="1">Y97-'Cost Calcs'!Z163</f>
        <v>14.541834284287365</v>
      </c>
    </row>
    <row r="99" spans="1:33" x14ac:dyDescent="0.25">
      <c r="A99" s="201" t="s">
        <v>269</v>
      </c>
      <c r="F99" s="7">
        <f ca="1">F98</f>
        <v>-6.7182313333333337</v>
      </c>
      <c r="G99" s="7">
        <f ca="1">G98+F99</f>
        <v>-16.061849632023812</v>
      </c>
      <c r="H99" s="7">
        <f t="shared" ref="H99:Y99" ca="1" si="24">H98+G99</f>
        <v>-23.025728779105954</v>
      </c>
      <c r="I99" s="7">
        <f t="shared" ca="1" si="24"/>
        <v>-18.455340194790093</v>
      </c>
      <c r="J99" s="7">
        <f t="shared" ca="1" si="24"/>
        <v>-13.815355982438575</v>
      </c>
      <c r="K99" s="7">
        <f t="shared" ca="1" si="24"/>
        <v>-6.8460980157435394</v>
      </c>
      <c r="L99" s="7">
        <f t="shared" ca="1" si="24"/>
        <v>-3.2651622970917602</v>
      </c>
      <c r="M99" s="7">
        <f t="shared" ca="1" si="24"/>
        <v>-2.1378913037934195</v>
      </c>
      <c r="N99" s="7">
        <f t="shared" ca="1" si="24"/>
        <v>-5.9311712198037547E-2</v>
      </c>
      <c r="O99" s="7">
        <f t="shared" ca="1" si="24"/>
        <v>4.3334980845300981</v>
      </c>
      <c r="P99" s="7">
        <f t="shared" ca="1" si="24"/>
        <v>11.827125134252068</v>
      </c>
      <c r="Q99" s="7">
        <f t="shared" ca="1" si="24"/>
        <v>20.171805430697127</v>
      </c>
      <c r="R99" s="7">
        <f t="shared" ca="1" si="24"/>
        <v>29.822278154634155</v>
      </c>
      <c r="S99" s="7">
        <f t="shared" ca="1" si="24"/>
        <v>41.31421923951298</v>
      </c>
      <c r="T99" s="7">
        <f t="shared" ca="1" si="24"/>
        <v>50.706379477246401</v>
      </c>
      <c r="U99" s="7">
        <f t="shared" ca="1" si="24"/>
        <v>64.659530146637522</v>
      </c>
      <c r="V99" s="7">
        <f t="shared" ca="1" si="24"/>
        <v>77.665235268315286</v>
      </c>
      <c r="W99" s="7">
        <f t="shared" ca="1" si="24"/>
        <v>92.753473034203523</v>
      </c>
      <c r="X99" s="7">
        <f t="shared" ca="1" si="24"/>
        <v>106.9759610660328</v>
      </c>
      <c r="Y99" s="7">
        <f t="shared" ca="1" si="24"/>
        <v>121.51779535032016</v>
      </c>
    </row>
    <row r="100" spans="1:33" s="56" customFormat="1" x14ac:dyDescent="0.25">
      <c r="A100" s="201" t="s">
        <v>416</v>
      </c>
      <c r="F100" s="7">
        <f ca="1">F97+'Cost Calcs'!G165</f>
        <v>-6.7182313333333337</v>
      </c>
      <c r="G100" s="7">
        <f ca="1">G97+'Cost Calcs'!H165+'Benefit Calcs'!F100</f>
        <v>-15.67303484202381</v>
      </c>
      <c r="H100" s="7">
        <f ca="1">H97+'Cost Calcs'!I165+'Benefit Calcs'!G100</f>
        <v>-21.384052952439287</v>
      </c>
      <c r="I100" s="7">
        <f ca="1">I97+'Cost Calcs'!J165+'Benefit Calcs'!H100</f>
        <v>-13.833990464129123</v>
      </c>
      <c r="J100" s="7">
        <f ca="1">J97+'Cost Calcs'!K165+'Benefit Calcs'!I100</f>
        <v>-5.9012247316244011</v>
      </c>
      <c r="K100" s="7">
        <f ca="1">K97+'Cost Calcs'!L165+'Benefit Calcs'!J100</f>
        <v>4.7645436134050385</v>
      </c>
      <c r="L100" s="7">
        <f ca="1">L97+'Cost Calcs'!M165+'Benefit Calcs'!K100</f>
        <v>12.239091010275573</v>
      </c>
      <c r="M100" s="7">
        <f ca="1">M97+'Cost Calcs'!N165+'Benefit Calcs'!L100</f>
        <v>17.387355746861271</v>
      </c>
      <c r="N100" s="7">
        <f ca="1">N97+'Cost Calcs'!O165+'Benefit Calcs'!M100</f>
        <v>23.641214474823098</v>
      </c>
      <c r="O100" s="7">
        <f ca="1">O97+'Cost Calcs'!P165+'Benefit Calcs'!N100</f>
        <v>32.383063155367537</v>
      </c>
      <c r="P100" s="7">
        <f ca="1">P97+'Cost Calcs'!Q165+'Benefit Calcs'!O100</f>
        <v>44.434537859831352</v>
      </c>
      <c r="Q100" s="7">
        <f ca="1">Q97+'Cost Calcs'!R165+'Benefit Calcs'!P100</f>
        <v>57.571992742067678</v>
      </c>
      <c r="R100" s="7">
        <f ca="1">R97+'Cost Calcs'!S165+'Benefit Calcs'!Q100</f>
        <v>72.265594755837782</v>
      </c>
      <c r="S100" s="7">
        <f ca="1">S97+'Cost Calcs'!T165+'Benefit Calcs'!R100</f>
        <v>89.096939023948551</v>
      </c>
      <c r="T100" s="7">
        <f ca="1">T97+'Cost Calcs'!U165+'Benefit Calcs'!S100</f>
        <v>104.15824282871753</v>
      </c>
      <c r="U100" s="7">
        <f ca="1">U97+'Cost Calcs'!V165+'Benefit Calcs'!T100</f>
        <v>124.236414702453</v>
      </c>
      <c r="V100" s="7">
        <f ca="1">V97+'Cost Calcs'!W165+'Benefit Calcs'!U100</f>
        <v>143.77129615230191</v>
      </c>
      <c r="W100" s="7">
        <f ca="1">W97+'Cost Calcs'!X165+'Benefit Calcs'!V100</f>
        <v>165.81118230981571</v>
      </c>
      <c r="X100" s="7">
        <f ca="1">X97+'Cost Calcs'!Y165+'Benefit Calcs'!W100</f>
        <v>187.39461296185081</v>
      </c>
      <c r="Y100" s="7">
        <f ca="1">Y97+'Cost Calcs'!Z165+'Benefit Calcs'!X100</f>
        <v>209.69430601185906</v>
      </c>
    </row>
    <row r="101" spans="1:33" x14ac:dyDescent="0.25">
      <c r="A101" s="201" t="s">
        <v>419</v>
      </c>
      <c r="F101" s="7">
        <f ca="1">F97-'Cost Calcs'!G163+SUM('Cost Calcs'!G95,'Cost Calcs'!G150,'Cost Calcs'!G161)</f>
        <v>-6.7182313333333337</v>
      </c>
      <c r="G101" s="7">
        <f ca="1">G97-'Cost Calcs'!H163+SUM('Cost Calcs'!H95,'Cost Calcs'!H150,'Cost Calcs'!H161)</f>
        <v>-8.9548035086904783</v>
      </c>
      <c r="H101" s="7">
        <f ca="1">H97-'Cost Calcs'!I163+SUM('Cost Calcs'!I95,'Cost Calcs'!I150,'Cost Calcs'!I161)</f>
        <v>-5.711018110415476</v>
      </c>
      <c r="I101" s="7">
        <f ca="1">I97-'Cost Calcs'!J163+SUM('Cost Calcs'!J95,'Cost Calcs'!J150,'Cost Calcs'!J161)</f>
        <v>7.5500624883101635</v>
      </c>
      <c r="J101" s="7">
        <f ca="1">J97-'Cost Calcs'!K163+SUM('Cost Calcs'!K95,'Cost Calcs'!K150,'Cost Calcs'!K161)</f>
        <v>7.9327657325047225</v>
      </c>
      <c r="K101" s="7">
        <f ca="1">K97-'Cost Calcs'!L163+SUM('Cost Calcs'!L95,'Cost Calcs'!L150,'Cost Calcs'!L161)</f>
        <v>10.665768345029441</v>
      </c>
      <c r="L101" s="7">
        <f ca="1">L97-'Cost Calcs'!M163+SUM('Cost Calcs'!M95,'Cost Calcs'!M150,'Cost Calcs'!M161)</f>
        <v>7.4745473968705332</v>
      </c>
      <c r="M101" s="7">
        <f ca="1">M97-'Cost Calcs'!N163+SUM('Cost Calcs'!N95,'Cost Calcs'!N150,'Cost Calcs'!N161)</f>
        <v>5.1482647365856993</v>
      </c>
      <c r="N101" s="7">
        <f ca="1">N97-'Cost Calcs'!O163+SUM('Cost Calcs'!O95,'Cost Calcs'!O150,'Cost Calcs'!O161)</f>
        <v>6.2538587279618261</v>
      </c>
      <c r="O101" s="7">
        <f ca="1">O97-'Cost Calcs'!P163+SUM('Cost Calcs'!P95,'Cost Calcs'!P150,'Cost Calcs'!P161)</f>
        <v>8.7418486805444449</v>
      </c>
      <c r="P101" s="7">
        <f ca="1">P97-'Cost Calcs'!Q163+SUM('Cost Calcs'!Q95,'Cost Calcs'!Q150,'Cost Calcs'!Q161)</f>
        <v>12.051474704463812</v>
      </c>
      <c r="Q101" s="7">
        <f ca="1">Q97-'Cost Calcs'!R163+SUM('Cost Calcs'!R95,'Cost Calcs'!R150,'Cost Calcs'!R161)</f>
        <v>13.13745488223633</v>
      </c>
      <c r="R101" s="7">
        <f ca="1">R97-'Cost Calcs'!S163+SUM('Cost Calcs'!S95,'Cost Calcs'!S150,'Cost Calcs'!S161)</f>
        <v>14.693602013770104</v>
      </c>
      <c r="S101" s="7">
        <f ca="1">S97-'Cost Calcs'!T163+SUM('Cost Calcs'!T95,'Cost Calcs'!T150,'Cost Calcs'!T161)</f>
        <v>16.831344268110762</v>
      </c>
      <c r="T101" s="7">
        <f ca="1">T97-'Cost Calcs'!U163+SUM('Cost Calcs'!U95,'Cost Calcs'!U150,'Cost Calcs'!U161)</f>
        <v>15.061303804768976</v>
      </c>
      <c r="U101" s="7">
        <f ca="1">U97-'Cost Calcs'!V163+SUM('Cost Calcs'!V95,'Cost Calcs'!V150,'Cost Calcs'!V161)</f>
        <v>20.078171873735464</v>
      </c>
      <c r="V101" s="7">
        <f ca="1">V97-'Cost Calcs'!W163+SUM('Cost Calcs'!W95,'Cost Calcs'!W150,'Cost Calcs'!W161)</f>
        <v>19.534881449848925</v>
      </c>
      <c r="W101" s="7">
        <f ca="1">W97-'Cost Calcs'!X163+SUM('Cost Calcs'!X95,'Cost Calcs'!X150,'Cost Calcs'!X161)</f>
        <v>22.039886157513802</v>
      </c>
      <c r="X101" s="7">
        <f ca="1">X97-'Cost Calcs'!Y163+SUM('Cost Calcs'!Y95,'Cost Calcs'!Y150,'Cost Calcs'!Y161)</f>
        <v>21.583430652035112</v>
      </c>
      <c r="Y101" s="7">
        <f ca="1">Y97-'Cost Calcs'!Z163+SUM('Cost Calcs'!Z95,'Cost Calcs'!Z150,'Cost Calcs'!Z161)</f>
        <v>22.299693050008241</v>
      </c>
    </row>
    <row r="102" spans="1:33" s="56" customFormat="1" ht="15.75" x14ac:dyDescent="0.25">
      <c r="A102" s="207" t="s">
        <v>369</v>
      </c>
      <c r="B102" s="91" t="s">
        <v>61</v>
      </c>
      <c r="C102" s="202"/>
      <c r="D102" s="202"/>
      <c r="E102" s="205"/>
      <c r="F102" s="205">
        <f t="shared" ref="F102:Y102" si="25">(F68+F73+F81)/1000+F90</f>
        <v>0</v>
      </c>
      <c r="G102" s="205">
        <f t="shared" si="25"/>
        <v>4.828279944625379</v>
      </c>
      <c r="H102" s="205">
        <f t="shared" si="25"/>
        <v>5.0249863776790615</v>
      </c>
      <c r="I102" s="205">
        <f t="shared" si="25"/>
        <v>5.8658069211101989</v>
      </c>
      <c r="J102" s="205">
        <f t="shared" si="25"/>
        <v>6.8217639546090583</v>
      </c>
      <c r="K102" s="205">
        <f t="shared" si="25"/>
        <v>8.0780171973634474</v>
      </c>
      <c r="L102" s="205">
        <f t="shared" si="25"/>
        <v>8.3126880202875775</v>
      </c>
      <c r="M102" s="205">
        <f t="shared" si="25"/>
        <v>9.5998464625770605</v>
      </c>
      <c r="N102" s="205">
        <f t="shared" si="25"/>
        <v>11.433346478586982</v>
      </c>
      <c r="O102" s="205">
        <f t="shared" si="25"/>
        <v>12.578429112239045</v>
      </c>
      <c r="P102" s="205">
        <f t="shared" si="25"/>
        <v>14.914058144344486</v>
      </c>
      <c r="Q102" s="205">
        <f t="shared" si="25"/>
        <v>16.64073666549271</v>
      </c>
      <c r="R102" s="205">
        <f t="shared" si="25"/>
        <v>17.504022154937626</v>
      </c>
      <c r="S102" s="205">
        <f t="shared" si="25"/>
        <v>20.380446333839188</v>
      </c>
      <c r="T102" s="205">
        <f t="shared" si="25"/>
        <v>22.466914202845217</v>
      </c>
      <c r="U102" s="205">
        <f t="shared" si="25"/>
        <v>29.928913416415195</v>
      </c>
      <c r="V102" s="205">
        <f t="shared" si="25"/>
        <v>26.709367621296224</v>
      </c>
      <c r="W102" s="205">
        <f t="shared" si="25"/>
        <v>27.885379657783876</v>
      </c>
      <c r="X102" s="205">
        <f t="shared" si="25"/>
        <v>27.390397092659263</v>
      </c>
      <c r="Y102" s="205">
        <f t="shared" si="25"/>
        <v>27.04323425127599</v>
      </c>
      <c r="Z102" s="7"/>
      <c r="AA102" s="7"/>
      <c r="AB102" s="7"/>
      <c r="AC102" s="7"/>
      <c r="AD102" s="7"/>
      <c r="AE102" s="7"/>
      <c r="AF102" s="7"/>
      <c r="AG102" s="7"/>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K165"/>
  <sheetViews>
    <sheetView showGridLines="0" zoomScale="90" zoomScaleNormal="90" workbookViewId="0"/>
  </sheetViews>
  <sheetFormatPr defaultRowHeight="15" x14ac:dyDescent="0.25"/>
  <cols>
    <col min="1" max="1" width="86.5703125" bestFit="1" customWidth="1"/>
    <col min="4" max="4" width="12.7109375" bestFit="1" customWidth="1"/>
    <col min="5" max="5" width="10.42578125" bestFit="1" customWidth="1"/>
    <col min="6" max="6" width="10.42578125" style="56" customWidth="1"/>
    <col min="7" max="7" width="10.140625" customWidth="1"/>
    <col min="8" max="26" width="10.42578125" bestFit="1" customWidth="1"/>
  </cols>
  <sheetData>
    <row r="1" spans="1:29" ht="21" x14ac:dyDescent="0.35">
      <c r="A1" s="199" t="s">
        <v>314</v>
      </c>
    </row>
    <row r="4" spans="1:29" x14ac:dyDescent="0.25">
      <c r="A4" s="1" t="s">
        <v>6</v>
      </c>
      <c r="B4" s="1"/>
      <c r="C4" s="1"/>
    </row>
    <row r="5" spans="1:29" ht="15.75" x14ac:dyDescent="0.25">
      <c r="A5" s="90" t="s">
        <v>2</v>
      </c>
      <c r="B5" s="90"/>
      <c r="C5" s="90"/>
      <c r="D5" s="90"/>
      <c r="E5" s="210" t="s">
        <v>2</v>
      </c>
      <c r="F5" s="90"/>
      <c r="G5" s="90">
        <v>2021</v>
      </c>
      <c r="H5" s="90">
        <f>G5+1</f>
        <v>2022</v>
      </c>
      <c r="I5" s="90">
        <f t="shared" ref="I5:L6" si="0">H5+1</f>
        <v>2023</v>
      </c>
      <c r="J5" s="90">
        <f t="shared" si="0"/>
        <v>2024</v>
      </c>
      <c r="K5" s="90">
        <f t="shared" si="0"/>
        <v>2025</v>
      </c>
      <c r="L5" s="90">
        <f t="shared" si="0"/>
        <v>2026</v>
      </c>
      <c r="M5" s="90">
        <f t="shared" ref="M5:M6" si="1">L5+1</f>
        <v>2027</v>
      </c>
      <c r="N5" s="90">
        <f t="shared" ref="N5:N6" si="2">M5+1</f>
        <v>2028</v>
      </c>
      <c r="O5" s="90">
        <f t="shared" ref="O5:O6" si="3">N5+1</f>
        <v>2029</v>
      </c>
      <c r="P5" s="90">
        <f t="shared" ref="P5:P6" si="4">O5+1</f>
        <v>2030</v>
      </c>
      <c r="Q5" s="90">
        <f t="shared" ref="Q5:Q6" si="5">P5+1</f>
        <v>2031</v>
      </c>
      <c r="R5" s="90">
        <f t="shared" ref="R5:R6" si="6">Q5+1</f>
        <v>2032</v>
      </c>
      <c r="S5" s="90">
        <f t="shared" ref="S5:S6" si="7">R5+1</f>
        <v>2033</v>
      </c>
      <c r="T5" s="90">
        <f t="shared" ref="T5:T6" si="8">S5+1</f>
        <v>2034</v>
      </c>
      <c r="U5" s="90">
        <f t="shared" ref="U5:U6" si="9">T5+1</f>
        <v>2035</v>
      </c>
      <c r="V5" s="90">
        <f t="shared" ref="V5:V6" si="10">U5+1</f>
        <v>2036</v>
      </c>
      <c r="W5" s="90">
        <f t="shared" ref="W5:W6" si="11">V5+1</f>
        <v>2037</v>
      </c>
      <c r="X5" s="90">
        <f t="shared" ref="X5:X6" si="12">W5+1</f>
        <v>2038</v>
      </c>
      <c r="Y5" s="90">
        <f t="shared" ref="Y5:Y6" si="13">X5+1</f>
        <v>2039</v>
      </c>
      <c r="Z5" s="90">
        <f t="shared" ref="Z5:Z6" si="14">Y5+1</f>
        <v>2040</v>
      </c>
    </row>
    <row r="6" spans="1:29" x14ac:dyDescent="0.25">
      <c r="A6" s="90" t="s">
        <v>3</v>
      </c>
      <c r="B6" s="90"/>
      <c r="C6" s="90"/>
      <c r="D6" s="90"/>
      <c r="E6" s="90"/>
      <c r="F6" s="90"/>
      <c r="G6" s="90">
        <v>1</v>
      </c>
      <c r="H6" s="90">
        <f>G6+1</f>
        <v>2</v>
      </c>
      <c r="I6" s="90">
        <f t="shared" si="0"/>
        <v>3</v>
      </c>
      <c r="J6" s="90">
        <f t="shared" si="0"/>
        <v>4</v>
      </c>
      <c r="K6" s="90">
        <f t="shared" si="0"/>
        <v>5</v>
      </c>
      <c r="L6" s="90">
        <f t="shared" si="0"/>
        <v>6</v>
      </c>
      <c r="M6" s="90">
        <f t="shared" si="1"/>
        <v>7</v>
      </c>
      <c r="N6" s="90">
        <f t="shared" si="2"/>
        <v>8</v>
      </c>
      <c r="O6" s="90">
        <f t="shared" si="3"/>
        <v>9</v>
      </c>
      <c r="P6" s="90">
        <f t="shared" si="4"/>
        <v>10</v>
      </c>
      <c r="Q6" s="90">
        <f t="shared" si="5"/>
        <v>11</v>
      </c>
      <c r="R6" s="90">
        <f t="shared" si="6"/>
        <v>12</v>
      </c>
      <c r="S6" s="90">
        <f t="shared" si="7"/>
        <v>13</v>
      </c>
      <c r="T6" s="90">
        <f t="shared" si="8"/>
        <v>14</v>
      </c>
      <c r="U6" s="90">
        <f t="shared" si="9"/>
        <v>15</v>
      </c>
      <c r="V6" s="90">
        <f t="shared" si="10"/>
        <v>16</v>
      </c>
      <c r="W6" s="90">
        <f t="shared" si="11"/>
        <v>17</v>
      </c>
      <c r="X6" s="90">
        <f t="shared" si="12"/>
        <v>18</v>
      </c>
      <c r="Y6" s="90">
        <f t="shared" si="13"/>
        <v>19</v>
      </c>
      <c r="Z6" s="90">
        <f t="shared" si="14"/>
        <v>20</v>
      </c>
    </row>
    <row r="7" spans="1:29" x14ac:dyDescent="0.25">
      <c r="A7" s="17" t="s">
        <v>4</v>
      </c>
      <c r="G7" s="7">
        <f t="shared" ref="G7:L7" si="15">1/(1+Real_Discount_Rate)^(G6-0.5)*IF(G6&lt;=Project_Assessment_Period,1,0)</f>
        <v>0.98652724733398012</v>
      </c>
      <c r="H7" s="7">
        <f t="shared" si="15"/>
        <v>0.96012384168757192</v>
      </c>
      <c r="I7" s="7">
        <f t="shared" si="15"/>
        <v>0.93442709653291667</v>
      </c>
      <c r="J7" s="7">
        <f t="shared" si="15"/>
        <v>0.90941809881549063</v>
      </c>
      <c r="K7" s="7">
        <f t="shared" si="15"/>
        <v>0.88507844166957705</v>
      </c>
      <c r="L7" s="7">
        <f t="shared" si="15"/>
        <v>0.86139021087063461</v>
      </c>
      <c r="M7" s="7">
        <f t="shared" ref="M7:Z7" si="16">1/(1+Real_Discount_Rate)^(M6-0.5)*IF(M6&lt;=Project_Assessment_Period,1,0)</f>
        <v>0.83833597165025253</v>
      </c>
      <c r="N7" s="7">
        <f t="shared" si="16"/>
        <v>0.81589875586399274</v>
      </c>
      <c r="O7" s="7">
        <f t="shared" si="16"/>
        <v>0.79406204950266923</v>
      </c>
      <c r="P7" s="7">
        <f t="shared" si="16"/>
        <v>0.77280978053787752</v>
      </c>
      <c r="Q7" s="7">
        <f t="shared" si="16"/>
        <v>0.75212630709282469</v>
      </c>
      <c r="R7" s="7">
        <f t="shared" si="16"/>
        <v>0.73199640592975646</v>
      </c>
      <c r="S7" s="7">
        <f t="shared" si="16"/>
        <v>0.71240526124550507</v>
      </c>
      <c r="T7" s="7">
        <f t="shared" si="16"/>
        <v>0.69333845376691472</v>
      </c>
      <c r="U7" s="7">
        <f t="shared" si="16"/>
        <v>0.67478195013811648</v>
      </c>
      <c r="V7" s="7">
        <f t="shared" si="16"/>
        <v>0.65672209259184078</v>
      </c>
      <c r="W7" s="7">
        <f t="shared" si="16"/>
        <v>0.63914558889716866</v>
      </c>
      <c r="X7" s="7">
        <f t="shared" si="16"/>
        <v>0.62203950257631979</v>
      </c>
      <c r="Y7" s="7">
        <f t="shared" si="16"/>
        <v>0.60539124338327954</v>
      </c>
      <c r="Z7" s="7">
        <f t="shared" si="16"/>
        <v>0.58918855803725501</v>
      </c>
      <c r="AA7" s="7"/>
      <c r="AB7" s="7"/>
      <c r="AC7" s="7"/>
    </row>
    <row r="9" spans="1:29" ht="18.75" x14ac:dyDescent="0.3">
      <c r="A9" s="45" t="s">
        <v>313</v>
      </c>
      <c r="B9" s="46"/>
      <c r="C9" s="46"/>
      <c r="D9" s="46"/>
      <c r="E9" s="46"/>
      <c r="F9" s="46"/>
      <c r="G9" s="46"/>
      <c r="H9" s="46"/>
      <c r="I9" s="46"/>
      <c r="J9" s="46"/>
      <c r="K9" s="46"/>
      <c r="L9" s="46"/>
      <c r="M9" s="46"/>
      <c r="N9" s="47"/>
      <c r="O9" s="46"/>
      <c r="P9" s="46"/>
      <c r="Q9" s="46"/>
      <c r="R9" s="46"/>
      <c r="S9" s="46"/>
      <c r="T9" s="46"/>
      <c r="U9" s="46"/>
      <c r="V9" s="46"/>
      <c r="W9" s="46"/>
      <c r="X9" s="46"/>
      <c r="Y9" s="46"/>
      <c r="Z9" s="46"/>
    </row>
    <row r="11" spans="1:29" x14ac:dyDescent="0.25">
      <c r="A11" s="1" t="s">
        <v>76</v>
      </c>
      <c r="D11" s="58" t="s">
        <v>394</v>
      </c>
      <c r="E11" s="58" t="s">
        <v>7</v>
      </c>
      <c r="F11" s="58"/>
    </row>
    <row r="12" spans="1:29" ht="15.75" x14ac:dyDescent="0.25">
      <c r="A12" t="str">
        <f>A70</f>
        <v>Real-Time Data Platform</v>
      </c>
      <c r="B12" t="s">
        <v>7</v>
      </c>
      <c r="C12" s="3" t="s">
        <v>9</v>
      </c>
      <c r="D12" s="24">
        <f t="shared" ref="D12:D17" si="17">SUMPRODUCT(G12:Z12,G$7:Z$7)</f>
        <v>2.0650191455393578</v>
      </c>
      <c r="E12" s="59">
        <f t="shared" ref="E12:E60" si="18">SUM(G12:Z12)</f>
        <v>2.112063</v>
      </c>
      <c r="F12" s="59"/>
      <c r="G12" s="7">
        <f>(IF(AND(G$5&gt;='Platform Cost Inputs'!$F8,G$5&lt;'Platform Cost Inputs'!$H8),(1/'Platform Cost Inputs'!$G8)*'Platform Cost Inputs'!$I8,0)-IF(AND(G$5&lt;'Platform Cost Inputs'!$H8,H$5&gt;'Platform Cost Inputs'!$H8),('Platform Cost Inputs'!$F8+'Platform Cost Inputs'!$G8-G$5)*'Platform Cost Inputs'!$I8/'Platform Cost Inputs'!$G8,0))/Million</f>
        <v>1.408042</v>
      </c>
      <c r="H12" s="7">
        <f>(IF(AND(H$5&gt;='Platform Cost Inputs'!$F8,H$5&lt;'Platform Cost Inputs'!$H8),(1/'Platform Cost Inputs'!$G8)*'Platform Cost Inputs'!$I8,0)-IF(AND(H$5&lt;'Platform Cost Inputs'!$H8,I$5&gt;'Platform Cost Inputs'!$H8),('Platform Cost Inputs'!$F8+'Platform Cost Inputs'!$G8-H$5)*'Platform Cost Inputs'!$I8/'Platform Cost Inputs'!$G8,0))/Million</f>
        <v>0.70402100000000001</v>
      </c>
      <c r="I12" s="7">
        <f>(IF(AND(I$5&gt;='Platform Cost Inputs'!$F8,I$5&lt;'Platform Cost Inputs'!$H8),(1/'Platform Cost Inputs'!$G8)*'Platform Cost Inputs'!$I8,0)-IF(AND(I$5&lt;'Platform Cost Inputs'!$H8,J$5&gt;'Platform Cost Inputs'!$H8),('Platform Cost Inputs'!$F8+'Platform Cost Inputs'!$G8-I$5)*'Platform Cost Inputs'!$I8/'Platform Cost Inputs'!$G8,0))/Million</f>
        <v>0</v>
      </c>
      <c r="J12" s="7">
        <f>(IF(AND(J$5&gt;='Platform Cost Inputs'!$F8,J$5&lt;'Platform Cost Inputs'!$H8),(1/'Platform Cost Inputs'!$G8)*'Platform Cost Inputs'!$I8,0)-IF(AND(J$5&lt;'Platform Cost Inputs'!$H8,K$5&gt;'Platform Cost Inputs'!$H8),('Platform Cost Inputs'!$F8+'Platform Cost Inputs'!$G8-J$5)*'Platform Cost Inputs'!$I8/'Platform Cost Inputs'!$G8,0))/Million</f>
        <v>0</v>
      </c>
      <c r="K12" s="7">
        <f>(IF(AND(K$5&gt;='Platform Cost Inputs'!$F8,K$5&lt;'Platform Cost Inputs'!$H8),(1/'Platform Cost Inputs'!$G8)*'Platform Cost Inputs'!$I8,0)-IF(AND(K$5&lt;'Platform Cost Inputs'!$H8,L$5&gt;'Platform Cost Inputs'!$H8),('Platform Cost Inputs'!$F8+'Platform Cost Inputs'!$G8-K$5)*'Platform Cost Inputs'!$I8/'Platform Cost Inputs'!$G8,0))/Million</f>
        <v>0</v>
      </c>
      <c r="L12" s="7">
        <f>(IF(AND(L$5&gt;='Platform Cost Inputs'!$F8,L$5&lt;'Platform Cost Inputs'!$H8),(1/'Platform Cost Inputs'!$G8)*'Platform Cost Inputs'!$I8,0)-IF(AND(L$5&lt;'Platform Cost Inputs'!$H8,M$5&gt;'Platform Cost Inputs'!$H8),('Platform Cost Inputs'!$F8+'Platform Cost Inputs'!$G8-L$5)*'Platform Cost Inputs'!$I8/'Platform Cost Inputs'!$G8,0))/Million</f>
        <v>0</v>
      </c>
      <c r="M12" s="7">
        <f>(IF(AND(M$5&gt;='Platform Cost Inputs'!$F8,M$5&lt;'Platform Cost Inputs'!$H8),(1/'Platform Cost Inputs'!$G8)*'Platform Cost Inputs'!$I8,0)-IF(AND(M$5&lt;'Platform Cost Inputs'!$H8,N$5&gt;'Platform Cost Inputs'!$H8),('Platform Cost Inputs'!$F8+'Platform Cost Inputs'!$G8-M$5)*'Platform Cost Inputs'!$I8/'Platform Cost Inputs'!$G8,0))/Million</f>
        <v>0</v>
      </c>
      <c r="N12" s="7">
        <f>(IF(AND(N$5&gt;='Platform Cost Inputs'!$F8,N$5&lt;'Platform Cost Inputs'!$H8),(1/'Platform Cost Inputs'!$G8)*'Platform Cost Inputs'!$I8,0)-IF(AND(N$5&lt;'Platform Cost Inputs'!$H8,O$5&gt;'Platform Cost Inputs'!$H8),('Platform Cost Inputs'!$F8+'Platform Cost Inputs'!$G8-N$5)*'Platform Cost Inputs'!$I8/'Platform Cost Inputs'!$G8,0))/Million</f>
        <v>0</v>
      </c>
      <c r="O12" s="7">
        <f>(IF(AND(O$5&gt;='Platform Cost Inputs'!$F8,O$5&lt;'Platform Cost Inputs'!$H8),(1/'Platform Cost Inputs'!$G8)*'Platform Cost Inputs'!$I8,0)-IF(AND(O$5&lt;'Platform Cost Inputs'!$H8,P$5&gt;'Platform Cost Inputs'!$H8),('Platform Cost Inputs'!$F8+'Platform Cost Inputs'!$G8-O$5)*'Platform Cost Inputs'!$I8/'Platform Cost Inputs'!$G8,0))/Million</f>
        <v>0</v>
      </c>
      <c r="P12" s="7">
        <f>(IF(AND(P$5&gt;='Platform Cost Inputs'!$F8,P$5&lt;'Platform Cost Inputs'!$H8),(1/'Platform Cost Inputs'!$G8)*'Platform Cost Inputs'!$I8,0)-IF(AND(P$5&lt;'Platform Cost Inputs'!$H8,Q$5&gt;'Platform Cost Inputs'!$H8),('Platform Cost Inputs'!$F8+'Platform Cost Inputs'!$G8-P$5)*'Platform Cost Inputs'!$I8/'Platform Cost Inputs'!$G8,0))/Million</f>
        <v>0</v>
      </c>
      <c r="Q12" s="7">
        <f>(IF(AND(Q$5&gt;='Platform Cost Inputs'!$F8,Q$5&lt;'Platform Cost Inputs'!$H8),(1/'Platform Cost Inputs'!$G8)*'Platform Cost Inputs'!$I8,0)-IF(AND(Q$5&lt;'Platform Cost Inputs'!$H8,R$5&gt;'Platform Cost Inputs'!$H8),('Platform Cost Inputs'!$F8+'Platform Cost Inputs'!$G8-Q$5)*'Platform Cost Inputs'!$I8/'Platform Cost Inputs'!$G8,0))/Million</f>
        <v>0</v>
      </c>
      <c r="R12" s="7">
        <f>(IF(AND(R$5&gt;='Platform Cost Inputs'!$F8,R$5&lt;'Platform Cost Inputs'!$H8),(1/'Platform Cost Inputs'!$G8)*'Platform Cost Inputs'!$I8,0)-IF(AND(R$5&lt;'Platform Cost Inputs'!$H8,S$5&gt;'Platform Cost Inputs'!$H8),('Platform Cost Inputs'!$F8+'Platform Cost Inputs'!$G8-R$5)*'Platform Cost Inputs'!$I8/'Platform Cost Inputs'!$G8,0))/Million</f>
        <v>0</v>
      </c>
      <c r="S12" s="7">
        <f>(IF(AND(S$5&gt;='Platform Cost Inputs'!$F8,S$5&lt;'Platform Cost Inputs'!$H8),(1/'Platform Cost Inputs'!$G8)*'Platform Cost Inputs'!$I8,0)-IF(AND(S$5&lt;'Platform Cost Inputs'!$H8,T$5&gt;'Platform Cost Inputs'!$H8),('Platform Cost Inputs'!$F8+'Platform Cost Inputs'!$G8-S$5)*'Platform Cost Inputs'!$I8/'Platform Cost Inputs'!$G8,0))/Million</f>
        <v>0</v>
      </c>
      <c r="T12" s="7">
        <f>(IF(AND(T$5&gt;='Platform Cost Inputs'!$F8,T$5&lt;'Platform Cost Inputs'!$H8),(1/'Platform Cost Inputs'!$G8)*'Platform Cost Inputs'!$I8,0)-IF(AND(T$5&lt;'Platform Cost Inputs'!$H8,U$5&gt;'Platform Cost Inputs'!$H8),('Platform Cost Inputs'!$F8+'Platform Cost Inputs'!$G8-T$5)*'Platform Cost Inputs'!$I8/'Platform Cost Inputs'!$G8,0))/Million</f>
        <v>0</v>
      </c>
      <c r="U12" s="7">
        <f>(IF(AND(U$5&gt;='Platform Cost Inputs'!$F8,U$5&lt;'Platform Cost Inputs'!$H8),(1/'Platform Cost Inputs'!$G8)*'Platform Cost Inputs'!$I8,0)-IF(AND(U$5&lt;'Platform Cost Inputs'!$H8,V$5&gt;'Platform Cost Inputs'!$H8),('Platform Cost Inputs'!$F8+'Platform Cost Inputs'!$G8-U$5)*'Platform Cost Inputs'!$I8/'Platform Cost Inputs'!$G8,0))/Million</f>
        <v>0</v>
      </c>
      <c r="V12" s="7">
        <f>(IF(AND(V$5&gt;='Platform Cost Inputs'!$F8,V$5&lt;'Platform Cost Inputs'!$H8),(1/'Platform Cost Inputs'!$G8)*'Platform Cost Inputs'!$I8,0)-IF(AND(V$5&lt;'Platform Cost Inputs'!$H8,W$5&gt;'Platform Cost Inputs'!$H8),('Platform Cost Inputs'!$F8+'Platform Cost Inputs'!$G8-V$5)*'Platform Cost Inputs'!$I8/'Platform Cost Inputs'!$G8,0))/Million</f>
        <v>0</v>
      </c>
      <c r="W12" s="7">
        <f>(IF(AND(W$5&gt;='Platform Cost Inputs'!$F8,W$5&lt;'Platform Cost Inputs'!$H8),(1/'Platform Cost Inputs'!$G8)*'Platform Cost Inputs'!$I8,0)-IF(AND(W$5&lt;'Platform Cost Inputs'!$H8,X$5&gt;'Platform Cost Inputs'!$H8),('Platform Cost Inputs'!$F8+'Platform Cost Inputs'!$G8-W$5)*'Platform Cost Inputs'!$I8/'Platform Cost Inputs'!$G8,0))/Million</f>
        <v>0</v>
      </c>
      <c r="X12" s="7">
        <f>(IF(AND(X$5&gt;='Platform Cost Inputs'!$F8,X$5&lt;'Platform Cost Inputs'!$H8),(1/'Platform Cost Inputs'!$G8)*'Platform Cost Inputs'!$I8,0)-IF(AND(X$5&lt;'Platform Cost Inputs'!$H8,Y$5&gt;'Platform Cost Inputs'!$H8),('Platform Cost Inputs'!$F8+'Platform Cost Inputs'!$G8-X$5)*'Platform Cost Inputs'!$I8/'Platform Cost Inputs'!$G8,0))/Million</f>
        <v>0</v>
      </c>
      <c r="Y12" s="7">
        <f>(IF(AND(Y$5&gt;='Platform Cost Inputs'!$F8,Y$5&lt;'Platform Cost Inputs'!$H8),(1/'Platform Cost Inputs'!$G8)*'Platform Cost Inputs'!$I8,0)-IF(AND(Y$5&lt;'Platform Cost Inputs'!$H8,Z$5&gt;'Platform Cost Inputs'!$H8),('Platform Cost Inputs'!$F8+'Platform Cost Inputs'!$G8-Y$5)*'Platform Cost Inputs'!$I8/'Platform Cost Inputs'!$G8,0))/Million</f>
        <v>0</v>
      </c>
      <c r="Z12" s="7">
        <f>(IF(AND(Z$5&gt;='Platform Cost Inputs'!$F8,Z$5&lt;'Platform Cost Inputs'!$H8),(1/'Platform Cost Inputs'!$G8)*'Platform Cost Inputs'!$I8,0)-IF(AND(Z$5&lt;'Platform Cost Inputs'!$H8,AA$5&gt;'Platform Cost Inputs'!$H8),('Platform Cost Inputs'!$F8+'Platform Cost Inputs'!$G8-Z$5)*'Platform Cost Inputs'!$I8/'Platform Cost Inputs'!$G8,0))/Million</f>
        <v>0</v>
      </c>
      <c r="AA12" s="7"/>
      <c r="AB12" s="7"/>
    </row>
    <row r="13" spans="1:29" ht="15.75" x14ac:dyDescent="0.25">
      <c r="A13" s="56" t="str">
        <f t="shared" ref="A13:A22" si="19">A71</f>
        <v>Iot Platform for Network Sensors</v>
      </c>
      <c r="B13" t="s">
        <v>7</v>
      </c>
      <c r="C13" s="3" t="s">
        <v>9</v>
      </c>
      <c r="D13" s="24">
        <f t="shared" si="17"/>
        <v>4.7784762401687306</v>
      </c>
      <c r="E13" s="59">
        <f t="shared" si="18"/>
        <v>5.0798399999999999</v>
      </c>
      <c r="F13" s="59"/>
      <c r="G13" s="7">
        <f>(IF(AND(G$5&gt;='Platform Cost Inputs'!$F9,G$5&lt;'Platform Cost Inputs'!$H9),(1/'Platform Cost Inputs'!$G9)*'Platform Cost Inputs'!$I9,0)-IF(AND(G$5&lt;'Platform Cost Inputs'!$H9,H$5&gt;'Platform Cost Inputs'!$H9),('Platform Cost Inputs'!$F9+'Platform Cost Inputs'!$G9-G$5)*'Platform Cost Inputs'!$I9/'Platform Cost Inputs'!$G9,0))/Million</f>
        <v>1.1288533333333333</v>
      </c>
      <c r="H13" s="7">
        <f>(IF(AND(H$5&gt;='Platform Cost Inputs'!$F9,H$5&lt;'Platform Cost Inputs'!$H9),(1/'Platform Cost Inputs'!$G9)*'Platform Cost Inputs'!$I9,0)-IF(AND(H$5&lt;'Platform Cost Inputs'!$H9,I$5&gt;'Platform Cost Inputs'!$H9),('Platform Cost Inputs'!$F9+'Platform Cost Inputs'!$G9-H$5)*'Platform Cost Inputs'!$I9/'Platform Cost Inputs'!$G9,0))/Million</f>
        <v>1.1288533333333333</v>
      </c>
      <c r="I13" s="7">
        <f>(IF(AND(I$5&gt;='Platform Cost Inputs'!$F9,I$5&lt;'Platform Cost Inputs'!$H9),(1/'Platform Cost Inputs'!$G9)*'Platform Cost Inputs'!$I9,0)-IF(AND(I$5&lt;'Platform Cost Inputs'!$H9,J$5&gt;'Platform Cost Inputs'!$H9),('Platform Cost Inputs'!$F9+'Platform Cost Inputs'!$G9-I$5)*'Platform Cost Inputs'!$I9/'Platform Cost Inputs'!$G9,0))/Million</f>
        <v>1.1288533333333333</v>
      </c>
      <c r="J13" s="7">
        <f>(IF(AND(J$5&gt;='Platform Cost Inputs'!$F9,J$5&lt;'Platform Cost Inputs'!$H9),(1/'Platform Cost Inputs'!$G9)*'Platform Cost Inputs'!$I9,0)-IF(AND(J$5&lt;'Platform Cost Inputs'!$H9,K$5&gt;'Platform Cost Inputs'!$H9),('Platform Cost Inputs'!$F9+'Platform Cost Inputs'!$G9-J$5)*'Platform Cost Inputs'!$I9/'Platform Cost Inputs'!$G9,0))/Million</f>
        <v>1.1288533333333333</v>
      </c>
      <c r="K13" s="7">
        <f>(IF(AND(K$5&gt;='Platform Cost Inputs'!$F9,K$5&lt;'Platform Cost Inputs'!$H9),(1/'Platform Cost Inputs'!$G9)*'Platform Cost Inputs'!$I9,0)-IF(AND(K$5&lt;'Platform Cost Inputs'!$H9,L$5&gt;'Platform Cost Inputs'!$H9),('Platform Cost Inputs'!$F9+'Platform Cost Inputs'!$G9-K$5)*'Platform Cost Inputs'!$I9/'Platform Cost Inputs'!$G9,0))/Million</f>
        <v>0.56442666666666663</v>
      </c>
      <c r="L13" s="7">
        <f>(IF(AND(L$5&gt;='Platform Cost Inputs'!$F9,L$5&lt;'Platform Cost Inputs'!$H9),(1/'Platform Cost Inputs'!$G9)*'Platform Cost Inputs'!$I9,0)-IF(AND(L$5&lt;'Platform Cost Inputs'!$H9,M$5&gt;'Platform Cost Inputs'!$H9),('Platform Cost Inputs'!$F9+'Platform Cost Inputs'!$G9-L$5)*'Platform Cost Inputs'!$I9/'Platform Cost Inputs'!$G9,0))/Million</f>
        <v>0</v>
      </c>
      <c r="M13" s="7">
        <f>(IF(AND(M$5&gt;='Platform Cost Inputs'!$F9,M$5&lt;'Platform Cost Inputs'!$H9),(1/'Platform Cost Inputs'!$G9)*'Platform Cost Inputs'!$I9,0)-IF(AND(M$5&lt;'Platform Cost Inputs'!$H9,N$5&gt;'Platform Cost Inputs'!$H9),('Platform Cost Inputs'!$F9+'Platform Cost Inputs'!$G9-M$5)*'Platform Cost Inputs'!$I9/'Platform Cost Inputs'!$G9,0))/Million</f>
        <v>0</v>
      </c>
      <c r="N13" s="7">
        <f>(IF(AND(N$5&gt;='Platform Cost Inputs'!$F9,N$5&lt;'Platform Cost Inputs'!$H9),(1/'Platform Cost Inputs'!$G9)*'Platform Cost Inputs'!$I9,0)-IF(AND(N$5&lt;'Platform Cost Inputs'!$H9,O$5&gt;'Platform Cost Inputs'!$H9),('Platform Cost Inputs'!$F9+'Platform Cost Inputs'!$G9-N$5)*'Platform Cost Inputs'!$I9/'Platform Cost Inputs'!$G9,0))/Million</f>
        <v>0</v>
      </c>
      <c r="O13" s="7">
        <f>(IF(AND(O$5&gt;='Platform Cost Inputs'!$F9,O$5&lt;'Platform Cost Inputs'!$H9),(1/'Platform Cost Inputs'!$G9)*'Platform Cost Inputs'!$I9,0)-IF(AND(O$5&lt;'Platform Cost Inputs'!$H9,P$5&gt;'Platform Cost Inputs'!$H9),('Platform Cost Inputs'!$F9+'Platform Cost Inputs'!$G9-O$5)*'Platform Cost Inputs'!$I9/'Platform Cost Inputs'!$G9,0))/Million</f>
        <v>0</v>
      </c>
      <c r="P13" s="7">
        <f>(IF(AND(P$5&gt;='Platform Cost Inputs'!$F9,P$5&lt;'Platform Cost Inputs'!$H9),(1/'Platform Cost Inputs'!$G9)*'Platform Cost Inputs'!$I9,0)-IF(AND(P$5&lt;'Platform Cost Inputs'!$H9,Q$5&gt;'Platform Cost Inputs'!$H9),('Platform Cost Inputs'!$F9+'Platform Cost Inputs'!$G9-P$5)*'Platform Cost Inputs'!$I9/'Platform Cost Inputs'!$G9,0))/Million</f>
        <v>0</v>
      </c>
      <c r="Q13" s="7">
        <f>(IF(AND(Q$5&gt;='Platform Cost Inputs'!$F9,Q$5&lt;'Platform Cost Inputs'!$H9),(1/'Platform Cost Inputs'!$G9)*'Platform Cost Inputs'!$I9,0)-IF(AND(Q$5&lt;'Platform Cost Inputs'!$H9,R$5&gt;'Platform Cost Inputs'!$H9),('Platform Cost Inputs'!$F9+'Platform Cost Inputs'!$G9-Q$5)*'Platform Cost Inputs'!$I9/'Platform Cost Inputs'!$G9,0))/Million</f>
        <v>0</v>
      </c>
      <c r="R13" s="7">
        <f>(IF(AND(R$5&gt;='Platform Cost Inputs'!$F9,R$5&lt;'Platform Cost Inputs'!$H9),(1/'Platform Cost Inputs'!$G9)*'Platform Cost Inputs'!$I9,0)-IF(AND(R$5&lt;'Platform Cost Inputs'!$H9,S$5&gt;'Platform Cost Inputs'!$H9),('Platform Cost Inputs'!$F9+'Platform Cost Inputs'!$G9-R$5)*'Platform Cost Inputs'!$I9/'Platform Cost Inputs'!$G9,0))/Million</f>
        <v>0</v>
      </c>
      <c r="S13" s="7">
        <f>(IF(AND(S$5&gt;='Platform Cost Inputs'!$F9,S$5&lt;'Platform Cost Inputs'!$H9),(1/'Platform Cost Inputs'!$G9)*'Platform Cost Inputs'!$I9,0)-IF(AND(S$5&lt;'Platform Cost Inputs'!$H9,T$5&gt;'Platform Cost Inputs'!$H9),('Platform Cost Inputs'!$F9+'Platform Cost Inputs'!$G9-S$5)*'Platform Cost Inputs'!$I9/'Platform Cost Inputs'!$G9,0))/Million</f>
        <v>0</v>
      </c>
      <c r="T13" s="7">
        <f>(IF(AND(T$5&gt;='Platform Cost Inputs'!$F9,T$5&lt;'Platform Cost Inputs'!$H9),(1/'Platform Cost Inputs'!$G9)*'Platform Cost Inputs'!$I9,0)-IF(AND(T$5&lt;'Platform Cost Inputs'!$H9,U$5&gt;'Platform Cost Inputs'!$H9),('Platform Cost Inputs'!$F9+'Platform Cost Inputs'!$G9-T$5)*'Platform Cost Inputs'!$I9/'Platform Cost Inputs'!$G9,0))/Million</f>
        <v>0</v>
      </c>
      <c r="U13" s="7">
        <f>(IF(AND(U$5&gt;='Platform Cost Inputs'!$F9,U$5&lt;'Platform Cost Inputs'!$H9),(1/'Platform Cost Inputs'!$G9)*'Platform Cost Inputs'!$I9,0)-IF(AND(U$5&lt;'Platform Cost Inputs'!$H9,V$5&gt;'Platform Cost Inputs'!$H9),('Platform Cost Inputs'!$F9+'Platform Cost Inputs'!$G9-U$5)*'Platform Cost Inputs'!$I9/'Platform Cost Inputs'!$G9,0))/Million</f>
        <v>0</v>
      </c>
      <c r="V13" s="7">
        <f>(IF(AND(V$5&gt;='Platform Cost Inputs'!$F9,V$5&lt;'Platform Cost Inputs'!$H9),(1/'Platform Cost Inputs'!$G9)*'Platform Cost Inputs'!$I9,0)-IF(AND(V$5&lt;'Platform Cost Inputs'!$H9,W$5&gt;'Platform Cost Inputs'!$H9),('Platform Cost Inputs'!$F9+'Platform Cost Inputs'!$G9-V$5)*'Platform Cost Inputs'!$I9/'Platform Cost Inputs'!$G9,0))/Million</f>
        <v>0</v>
      </c>
      <c r="W13" s="7">
        <f>(IF(AND(W$5&gt;='Platform Cost Inputs'!$F9,W$5&lt;'Platform Cost Inputs'!$H9),(1/'Platform Cost Inputs'!$G9)*'Platform Cost Inputs'!$I9,0)-IF(AND(W$5&lt;'Platform Cost Inputs'!$H9,X$5&gt;'Platform Cost Inputs'!$H9),('Platform Cost Inputs'!$F9+'Platform Cost Inputs'!$G9-W$5)*'Platform Cost Inputs'!$I9/'Platform Cost Inputs'!$G9,0))/Million</f>
        <v>0</v>
      </c>
      <c r="X13" s="7">
        <f>(IF(AND(X$5&gt;='Platform Cost Inputs'!$F9,X$5&lt;'Platform Cost Inputs'!$H9),(1/'Platform Cost Inputs'!$G9)*'Platform Cost Inputs'!$I9,0)-IF(AND(X$5&lt;'Platform Cost Inputs'!$H9,Y$5&gt;'Platform Cost Inputs'!$H9),('Platform Cost Inputs'!$F9+'Platform Cost Inputs'!$G9-X$5)*'Platform Cost Inputs'!$I9/'Platform Cost Inputs'!$G9,0))/Million</f>
        <v>0</v>
      </c>
      <c r="Y13" s="7">
        <f>(IF(AND(Y$5&gt;='Platform Cost Inputs'!$F9,Y$5&lt;'Platform Cost Inputs'!$H9),(1/'Platform Cost Inputs'!$G9)*'Platform Cost Inputs'!$I9,0)-IF(AND(Y$5&lt;'Platform Cost Inputs'!$H9,Z$5&gt;'Platform Cost Inputs'!$H9),('Platform Cost Inputs'!$F9+'Platform Cost Inputs'!$G9-Y$5)*'Platform Cost Inputs'!$I9/'Platform Cost Inputs'!$G9,0))/Million</f>
        <v>0</v>
      </c>
      <c r="Z13" s="7">
        <f>(IF(AND(Z$5&gt;='Platform Cost Inputs'!$F9,Z$5&lt;'Platform Cost Inputs'!$H9),(1/'Platform Cost Inputs'!$G9)*'Platform Cost Inputs'!$I9,0)-IF(AND(Z$5&lt;'Platform Cost Inputs'!$H9,AA$5&gt;'Platform Cost Inputs'!$H9),('Platform Cost Inputs'!$F9+'Platform Cost Inputs'!$G9-Z$5)*'Platform Cost Inputs'!$I9/'Platform Cost Inputs'!$G9,0))/Million</f>
        <v>0</v>
      </c>
    </row>
    <row r="14" spans="1:29" ht="15.75" x14ac:dyDescent="0.25">
      <c r="A14" s="56" t="str">
        <f t="shared" si="19"/>
        <v>IoT Platform Extension for Network Sensors</v>
      </c>
      <c r="B14" t="s">
        <v>7</v>
      </c>
      <c r="C14" s="3" t="s">
        <v>9</v>
      </c>
      <c r="D14" s="24">
        <f t="shared" si="17"/>
        <v>1.1443139994769158</v>
      </c>
      <c r="E14" s="59">
        <f t="shared" si="18"/>
        <v>1.19184</v>
      </c>
      <c r="F14" s="59"/>
      <c r="G14" s="7">
        <f>(IF(AND(G$5&gt;='Platform Cost Inputs'!$F11,G$5&lt;'Platform Cost Inputs'!$H11),(1/'Platform Cost Inputs'!$G11)*'Platform Cost Inputs'!$I11,0)-IF(AND(G$5&lt;'Platform Cost Inputs'!$H11,H$5&gt;'Platform Cost Inputs'!$H11),('Platform Cost Inputs'!$F11+'Platform Cost Inputs'!$G11-G$5)*'Platform Cost Inputs'!$I11/'Platform Cost Inputs'!$G11,0))/Million</f>
        <v>0</v>
      </c>
      <c r="H14" s="7">
        <f>(IF(AND(H$5&gt;='Platform Cost Inputs'!$F11,H$5&lt;'Platform Cost Inputs'!$H11),(1/'Platform Cost Inputs'!$G11)*'Platform Cost Inputs'!$I11,0)-IF(AND(H$5&lt;'Platform Cost Inputs'!$H11,I$5&gt;'Platform Cost Inputs'!$H11),('Platform Cost Inputs'!$F11+'Platform Cost Inputs'!$G11-H$5)*'Platform Cost Inputs'!$I11/'Platform Cost Inputs'!$G11,0))/Million</f>
        <v>1.19184</v>
      </c>
      <c r="I14" s="7">
        <f>(IF(AND(I$5&gt;='Platform Cost Inputs'!$F11,I$5&lt;'Platform Cost Inputs'!$H11),(1/'Platform Cost Inputs'!$G11)*'Platform Cost Inputs'!$I11,0)-IF(AND(I$5&lt;'Platform Cost Inputs'!$H11,J$5&gt;'Platform Cost Inputs'!$H11),('Platform Cost Inputs'!$F11+'Platform Cost Inputs'!$G11-I$5)*'Platform Cost Inputs'!$I11/'Platform Cost Inputs'!$G11,0))/Million</f>
        <v>0</v>
      </c>
      <c r="J14" s="7">
        <f>(IF(AND(J$5&gt;='Platform Cost Inputs'!$F11,J$5&lt;'Platform Cost Inputs'!$H11),(1/'Platform Cost Inputs'!$G11)*'Platform Cost Inputs'!$I11,0)-IF(AND(J$5&lt;'Platform Cost Inputs'!$H11,K$5&gt;'Platform Cost Inputs'!$H11),('Platform Cost Inputs'!$F11+'Platform Cost Inputs'!$G11-J$5)*'Platform Cost Inputs'!$I11/'Platform Cost Inputs'!$G11,0))/Million</f>
        <v>0</v>
      </c>
      <c r="K14" s="7">
        <f>(IF(AND(K$5&gt;='Platform Cost Inputs'!$F11,K$5&lt;'Platform Cost Inputs'!$H11),(1/'Platform Cost Inputs'!$G11)*'Platform Cost Inputs'!$I11,0)-IF(AND(K$5&lt;'Platform Cost Inputs'!$H11,L$5&gt;'Platform Cost Inputs'!$H11),('Platform Cost Inputs'!$F11+'Platform Cost Inputs'!$G11-K$5)*'Platform Cost Inputs'!$I11/'Platform Cost Inputs'!$G11,0))/Million</f>
        <v>0</v>
      </c>
      <c r="L14" s="7">
        <f>(IF(AND(L$5&gt;='Platform Cost Inputs'!$F11,L$5&lt;'Platform Cost Inputs'!$H11),(1/'Platform Cost Inputs'!$G11)*'Platform Cost Inputs'!$I11,0)-IF(AND(L$5&lt;'Platform Cost Inputs'!$H11,M$5&gt;'Platform Cost Inputs'!$H11),('Platform Cost Inputs'!$F11+'Platform Cost Inputs'!$G11-L$5)*'Platform Cost Inputs'!$I11/'Platform Cost Inputs'!$G11,0))/Million</f>
        <v>0</v>
      </c>
      <c r="M14" s="7">
        <f>(IF(AND(M$5&gt;='Platform Cost Inputs'!$F11,M$5&lt;'Platform Cost Inputs'!$H11),(1/'Platform Cost Inputs'!$G11)*'Platform Cost Inputs'!$I11,0)-IF(AND(M$5&lt;'Platform Cost Inputs'!$H11,N$5&gt;'Platform Cost Inputs'!$H11),('Platform Cost Inputs'!$F11+'Platform Cost Inputs'!$G11-M$5)*'Platform Cost Inputs'!$I11/'Platform Cost Inputs'!$G11,0))/Million</f>
        <v>0</v>
      </c>
      <c r="N14" s="7">
        <f>(IF(AND(N$5&gt;='Platform Cost Inputs'!$F11,N$5&lt;'Platform Cost Inputs'!$H11),(1/'Platform Cost Inputs'!$G11)*'Platform Cost Inputs'!$I11,0)-IF(AND(N$5&lt;'Platform Cost Inputs'!$H11,O$5&gt;'Platform Cost Inputs'!$H11),('Platform Cost Inputs'!$F11+'Platform Cost Inputs'!$G11-N$5)*'Platform Cost Inputs'!$I11/'Platform Cost Inputs'!$G11,0))/Million</f>
        <v>0</v>
      </c>
      <c r="O14" s="7">
        <f>(IF(AND(O$5&gt;='Platform Cost Inputs'!$F11,O$5&lt;'Platform Cost Inputs'!$H11),(1/'Platform Cost Inputs'!$G11)*'Platform Cost Inputs'!$I11,0)-IF(AND(O$5&lt;'Platform Cost Inputs'!$H11,P$5&gt;'Platform Cost Inputs'!$H11),('Platform Cost Inputs'!$F11+'Platform Cost Inputs'!$G11-O$5)*'Platform Cost Inputs'!$I11/'Platform Cost Inputs'!$G11,0))/Million</f>
        <v>0</v>
      </c>
      <c r="P14" s="7">
        <f>(IF(AND(P$5&gt;='Platform Cost Inputs'!$F11,P$5&lt;'Platform Cost Inputs'!$H11),(1/'Platform Cost Inputs'!$G11)*'Platform Cost Inputs'!$I11,0)-IF(AND(P$5&lt;'Platform Cost Inputs'!$H11,Q$5&gt;'Platform Cost Inputs'!$H11),('Platform Cost Inputs'!$F11+'Platform Cost Inputs'!$G11-P$5)*'Platform Cost Inputs'!$I11/'Platform Cost Inputs'!$G11,0))/Million</f>
        <v>0</v>
      </c>
      <c r="Q14" s="7">
        <f>(IF(AND(Q$5&gt;='Platform Cost Inputs'!$F11,Q$5&lt;'Platform Cost Inputs'!$H11),(1/'Platform Cost Inputs'!$G11)*'Platform Cost Inputs'!$I11,0)-IF(AND(Q$5&lt;'Platform Cost Inputs'!$H11,R$5&gt;'Platform Cost Inputs'!$H11),('Platform Cost Inputs'!$F11+'Platform Cost Inputs'!$G11-Q$5)*'Platform Cost Inputs'!$I11/'Platform Cost Inputs'!$G11,0))/Million</f>
        <v>0</v>
      </c>
      <c r="R14" s="7">
        <f>(IF(AND(R$5&gt;='Platform Cost Inputs'!$F11,R$5&lt;'Platform Cost Inputs'!$H11),(1/'Platform Cost Inputs'!$G11)*'Platform Cost Inputs'!$I11,0)-IF(AND(R$5&lt;'Platform Cost Inputs'!$H11,S$5&gt;'Platform Cost Inputs'!$H11),('Platform Cost Inputs'!$F11+'Platform Cost Inputs'!$G11-R$5)*'Platform Cost Inputs'!$I11/'Platform Cost Inputs'!$G11,0))/Million</f>
        <v>0</v>
      </c>
      <c r="S14" s="7">
        <f>(IF(AND(S$5&gt;='Platform Cost Inputs'!$F11,S$5&lt;'Platform Cost Inputs'!$H11),(1/'Platform Cost Inputs'!$G11)*'Platform Cost Inputs'!$I11,0)-IF(AND(S$5&lt;'Platform Cost Inputs'!$H11,T$5&gt;'Platform Cost Inputs'!$H11),('Platform Cost Inputs'!$F11+'Platform Cost Inputs'!$G11-S$5)*'Platform Cost Inputs'!$I11/'Platform Cost Inputs'!$G11,0))/Million</f>
        <v>0</v>
      </c>
      <c r="T14" s="7">
        <f>(IF(AND(T$5&gt;='Platform Cost Inputs'!$F11,T$5&lt;'Platform Cost Inputs'!$H11),(1/'Platform Cost Inputs'!$G11)*'Platform Cost Inputs'!$I11,0)-IF(AND(T$5&lt;'Platform Cost Inputs'!$H11,U$5&gt;'Platform Cost Inputs'!$H11),('Platform Cost Inputs'!$F11+'Platform Cost Inputs'!$G11-T$5)*'Platform Cost Inputs'!$I11/'Platform Cost Inputs'!$G11,0))/Million</f>
        <v>0</v>
      </c>
      <c r="U14" s="7">
        <f>(IF(AND(U$5&gt;='Platform Cost Inputs'!$F11,U$5&lt;'Platform Cost Inputs'!$H11),(1/'Platform Cost Inputs'!$G11)*'Platform Cost Inputs'!$I11,0)-IF(AND(U$5&lt;'Platform Cost Inputs'!$H11,V$5&gt;'Platform Cost Inputs'!$H11),('Platform Cost Inputs'!$F11+'Platform Cost Inputs'!$G11-U$5)*'Platform Cost Inputs'!$I11/'Platform Cost Inputs'!$G11,0))/Million</f>
        <v>0</v>
      </c>
      <c r="V14" s="7">
        <f>(IF(AND(V$5&gt;='Platform Cost Inputs'!$F11,V$5&lt;'Platform Cost Inputs'!$H11),(1/'Platform Cost Inputs'!$G11)*'Platform Cost Inputs'!$I11,0)-IF(AND(V$5&lt;'Platform Cost Inputs'!$H11,W$5&gt;'Platform Cost Inputs'!$H11),('Platform Cost Inputs'!$F11+'Platform Cost Inputs'!$G11-V$5)*'Platform Cost Inputs'!$I11/'Platform Cost Inputs'!$G11,0))/Million</f>
        <v>0</v>
      </c>
      <c r="W14" s="7">
        <f>(IF(AND(W$5&gt;='Platform Cost Inputs'!$F11,W$5&lt;'Platform Cost Inputs'!$H11),(1/'Platform Cost Inputs'!$G11)*'Platform Cost Inputs'!$I11,0)-IF(AND(W$5&lt;'Platform Cost Inputs'!$H11,X$5&gt;'Platform Cost Inputs'!$H11),('Platform Cost Inputs'!$F11+'Platform Cost Inputs'!$G11-W$5)*'Platform Cost Inputs'!$I11/'Platform Cost Inputs'!$G11,0))/Million</f>
        <v>0</v>
      </c>
      <c r="X14" s="7">
        <f>(IF(AND(X$5&gt;='Platform Cost Inputs'!$F11,X$5&lt;'Platform Cost Inputs'!$H11),(1/'Platform Cost Inputs'!$G11)*'Platform Cost Inputs'!$I11,0)-IF(AND(X$5&lt;'Platform Cost Inputs'!$H11,Y$5&gt;'Platform Cost Inputs'!$H11),('Platform Cost Inputs'!$F11+'Platform Cost Inputs'!$G11-X$5)*'Platform Cost Inputs'!$I11/'Platform Cost Inputs'!$G11,0))/Million</f>
        <v>0</v>
      </c>
      <c r="Y14" s="7">
        <f>(IF(AND(Y$5&gt;='Platform Cost Inputs'!$F11,Y$5&lt;'Platform Cost Inputs'!$H11),(1/'Platform Cost Inputs'!$G11)*'Platform Cost Inputs'!$I11,0)-IF(AND(Y$5&lt;'Platform Cost Inputs'!$H11,Z$5&gt;'Platform Cost Inputs'!$H11),('Platform Cost Inputs'!$F11+'Platform Cost Inputs'!$G11-Y$5)*'Platform Cost Inputs'!$I11/'Platform Cost Inputs'!$G11,0))/Million</f>
        <v>0</v>
      </c>
      <c r="Z14" s="7">
        <f>(IF(AND(Z$5&gt;='Platform Cost Inputs'!$F11,Z$5&lt;'Platform Cost Inputs'!$H11),(1/'Platform Cost Inputs'!$G11)*'Platform Cost Inputs'!$I11,0)-IF(AND(Z$5&lt;'Platform Cost Inputs'!$H11,AA$5&gt;'Platform Cost Inputs'!$H11),('Platform Cost Inputs'!$F11+'Platform Cost Inputs'!$G11-Z$5)*'Platform Cost Inputs'!$I11/'Platform Cost Inputs'!$G11,0))/Million</f>
        <v>0</v>
      </c>
    </row>
    <row r="15" spans="1:29" ht="15.75" x14ac:dyDescent="0.25">
      <c r="A15" s="56" t="str">
        <f t="shared" si="19"/>
        <v>Real Time Grid Analytics Platform</v>
      </c>
      <c r="B15" t="s">
        <v>7</v>
      </c>
      <c r="C15" s="3" t="s">
        <v>9</v>
      </c>
      <c r="D15" s="24">
        <f t="shared" si="17"/>
        <v>2.0418351743520851</v>
      </c>
      <c r="E15" s="59">
        <f t="shared" si="18"/>
        <v>2.0697199999999998</v>
      </c>
      <c r="F15" s="59"/>
      <c r="G15" s="7">
        <f>(IF(AND(G$5&gt;='Platform Cost Inputs'!$F12,G$5&lt;'Platform Cost Inputs'!$H12),(1/'Platform Cost Inputs'!$G12)*'Platform Cost Inputs'!$I12,0)-IF(AND(G$5&lt;'Platform Cost Inputs'!$H12,H$5&gt;'Platform Cost Inputs'!$H12),('Platform Cost Inputs'!$F12+'Platform Cost Inputs'!$G12-G$5)*'Platform Cost Inputs'!$I12/'Platform Cost Inputs'!$G12,0))/Million</f>
        <v>2.0697199999999998</v>
      </c>
      <c r="H15" s="7">
        <f>(IF(AND(H$5&gt;='Platform Cost Inputs'!$F12,H$5&lt;'Platform Cost Inputs'!$H12),(1/'Platform Cost Inputs'!$G12)*'Platform Cost Inputs'!$I12,0)-IF(AND(H$5&lt;'Platform Cost Inputs'!$H12,I$5&gt;'Platform Cost Inputs'!$H12),('Platform Cost Inputs'!$F12+'Platform Cost Inputs'!$G12-H$5)*'Platform Cost Inputs'!$I12/'Platform Cost Inputs'!$G12,0))/Million</f>
        <v>0</v>
      </c>
      <c r="I15" s="7">
        <f>(IF(AND(I$5&gt;='Platform Cost Inputs'!$F12,I$5&lt;'Platform Cost Inputs'!$H12),(1/'Platform Cost Inputs'!$G12)*'Platform Cost Inputs'!$I12,0)-IF(AND(I$5&lt;'Platform Cost Inputs'!$H12,J$5&gt;'Platform Cost Inputs'!$H12),('Platform Cost Inputs'!$F12+'Platform Cost Inputs'!$G12-I$5)*'Platform Cost Inputs'!$I12/'Platform Cost Inputs'!$G12,0))/Million</f>
        <v>0</v>
      </c>
      <c r="J15" s="7">
        <f>(IF(AND(J$5&gt;='Platform Cost Inputs'!$F12,J$5&lt;'Platform Cost Inputs'!$H12),(1/'Platform Cost Inputs'!$G12)*'Platform Cost Inputs'!$I12,0)-IF(AND(J$5&lt;'Platform Cost Inputs'!$H12,K$5&gt;'Platform Cost Inputs'!$H12),('Platform Cost Inputs'!$F12+'Platform Cost Inputs'!$G12-J$5)*'Platform Cost Inputs'!$I12/'Platform Cost Inputs'!$G12,0))/Million</f>
        <v>0</v>
      </c>
      <c r="K15" s="7">
        <f>(IF(AND(K$5&gt;='Platform Cost Inputs'!$F12,K$5&lt;'Platform Cost Inputs'!$H12),(1/'Platform Cost Inputs'!$G12)*'Platform Cost Inputs'!$I12,0)-IF(AND(K$5&lt;'Platform Cost Inputs'!$H12,L$5&gt;'Platform Cost Inputs'!$H12),('Platform Cost Inputs'!$F12+'Platform Cost Inputs'!$G12-K$5)*'Platform Cost Inputs'!$I12/'Platform Cost Inputs'!$G12,0))/Million</f>
        <v>0</v>
      </c>
      <c r="L15" s="7">
        <f>(IF(AND(L$5&gt;='Platform Cost Inputs'!$F12,L$5&lt;'Platform Cost Inputs'!$H12),(1/'Platform Cost Inputs'!$G12)*'Platform Cost Inputs'!$I12,0)-IF(AND(L$5&lt;'Platform Cost Inputs'!$H12,M$5&gt;'Platform Cost Inputs'!$H12),('Platform Cost Inputs'!$F12+'Platform Cost Inputs'!$G12-L$5)*'Platform Cost Inputs'!$I12/'Platform Cost Inputs'!$G12,0))/Million</f>
        <v>0</v>
      </c>
      <c r="M15" s="7">
        <f>(IF(AND(M$5&gt;='Platform Cost Inputs'!$F12,M$5&lt;'Platform Cost Inputs'!$H12),(1/'Platform Cost Inputs'!$G12)*'Platform Cost Inputs'!$I12,0)-IF(AND(M$5&lt;'Platform Cost Inputs'!$H12,N$5&gt;'Platform Cost Inputs'!$H12),('Platform Cost Inputs'!$F12+'Platform Cost Inputs'!$G12-M$5)*'Platform Cost Inputs'!$I12/'Platform Cost Inputs'!$G12,0))/Million</f>
        <v>0</v>
      </c>
      <c r="N15" s="7">
        <f>(IF(AND(N$5&gt;='Platform Cost Inputs'!$F12,N$5&lt;'Platform Cost Inputs'!$H12),(1/'Platform Cost Inputs'!$G12)*'Platform Cost Inputs'!$I12,0)-IF(AND(N$5&lt;'Platform Cost Inputs'!$H12,O$5&gt;'Platform Cost Inputs'!$H12),('Platform Cost Inputs'!$F12+'Platform Cost Inputs'!$G12-N$5)*'Platform Cost Inputs'!$I12/'Platform Cost Inputs'!$G12,0))/Million</f>
        <v>0</v>
      </c>
      <c r="O15" s="7">
        <f>(IF(AND(O$5&gt;='Platform Cost Inputs'!$F12,O$5&lt;'Platform Cost Inputs'!$H12),(1/'Platform Cost Inputs'!$G12)*'Platform Cost Inputs'!$I12,0)-IF(AND(O$5&lt;'Platform Cost Inputs'!$H12,P$5&gt;'Platform Cost Inputs'!$H12),('Platform Cost Inputs'!$F12+'Platform Cost Inputs'!$G12-O$5)*'Platform Cost Inputs'!$I12/'Platform Cost Inputs'!$G12,0))/Million</f>
        <v>0</v>
      </c>
      <c r="P15" s="7">
        <f>(IF(AND(P$5&gt;='Platform Cost Inputs'!$F12,P$5&lt;'Platform Cost Inputs'!$H12),(1/'Platform Cost Inputs'!$G12)*'Platform Cost Inputs'!$I12,0)-IF(AND(P$5&lt;'Platform Cost Inputs'!$H12,Q$5&gt;'Platform Cost Inputs'!$H12),('Platform Cost Inputs'!$F12+'Platform Cost Inputs'!$G12-P$5)*'Platform Cost Inputs'!$I12/'Platform Cost Inputs'!$G12,0))/Million</f>
        <v>0</v>
      </c>
      <c r="Q15" s="7">
        <f>(IF(AND(Q$5&gt;='Platform Cost Inputs'!$F12,Q$5&lt;'Platform Cost Inputs'!$H12),(1/'Platform Cost Inputs'!$G12)*'Platform Cost Inputs'!$I12,0)-IF(AND(Q$5&lt;'Platform Cost Inputs'!$H12,R$5&gt;'Platform Cost Inputs'!$H12),('Platform Cost Inputs'!$F12+'Platform Cost Inputs'!$G12-Q$5)*'Platform Cost Inputs'!$I12/'Platform Cost Inputs'!$G12,0))/Million</f>
        <v>0</v>
      </c>
      <c r="R15" s="7">
        <f>(IF(AND(R$5&gt;='Platform Cost Inputs'!$F12,R$5&lt;'Platform Cost Inputs'!$H12),(1/'Platform Cost Inputs'!$G12)*'Platform Cost Inputs'!$I12,0)-IF(AND(R$5&lt;'Platform Cost Inputs'!$H12,S$5&gt;'Platform Cost Inputs'!$H12),('Platform Cost Inputs'!$F12+'Platform Cost Inputs'!$G12-R$5)*'Platform Cost Inputs'!$I12/'Platform Cost Inputs'!$G12,0))/Million</f>
        <v>0</v>
      </c>
      <c r="S15" s="7">
        <f>(IF(AND(S$5&gt;='Platform Cost Inputs'!$F12,S$5&lt;'Platform Cost Inputs'!$H12),(1/'Platform Cost Inputs'!$G12)*'Platform Cost Inputs'!$I12,0)-IF(AND(S$5&lt;'Platform Cost Inputs'!$H12,T$5&gt;'Platform Cost Inputs'!$H12),('Platform Cost Inputs'!$F12+'Platform Cost Inputs'!$G12-S$5)*'Platform Cost Inputs'!$I12/'Platform Cost Inputs'!$G12,0))/Million</f>
        <v>0</v>
      </c>
      <c r="T15" s="7">
        <f>(IF(AND(T$5&gt;='Platform Cost Inputs'!$F12,T$5&lt;'Platform Cost Inputs'!$H12),(1/'Platform Cost Inputs'!$G12)*'Platform Cost Inputs'!$I12,0)-IF(AND(T$5&lt;'Platform Cost Inputs'!$H12,U$5&gt;'Platform Cost Inputs'!$H12),('Platform Cost Inputs'!$F12+'Platform Cost Inputs'!$G12-T$5)*'Platform Cost Inputs'!$I12/'Platform Cost Inputs'!$G12,0))/Million</f>
        <v>0</v>
      </c>
      <c r="U15" s="7">
        <f>(IF(AND(U$5&gt;='Platform Cost Inputs'!$F12,U$5&lt;'Platform Cost Inputs'!$H12),(1/'Platform Cost Inputs'!$G12)*'Platform Cost Inputs'!$I12,0)-IF(AND(U$5&lt;'Platform Cost Inputs'!$H12,V$5&gt;'Platform Cost Inputs'!$H12),('Platform Cost Inputs'!$F12+'Platform Cost Inputs'!$G12-U$5)*'Platform Cost Inputs'!$I12/'Platform Cost Inputs'!$G12,0))/Million</f>
        <v>0</v>
      </c>
      <c r="V15" s="7">
        <f>(IF(AND(V$5&gt;='Platform Cost Inputs'!$F12,V$5&lt;'Platform Cost Inputs'!$H12),(1/'Platform Cost Inputs'!$G12)*'Platform Cost Inputs'!$I12,0)-IF(AND(V$5&lt;'Platform Cost Inputs'!$H12,W$5&gt;'Platform Cost Inputs'!$H12),('Platform Cost Inputs'!$F12+'Platform Cost Inputs'!$G12-V$5)*'Platform Cost Inputs'!$I12/'Platform Cost Inputs'!$G12,0))/Million</f>
        <v>0</v>
      </c>
      <c r="W15" s="7">
        <f>(IF(AND(W$5&gt;='Platform Cost Inputs'!$F12,W$5&lt;'Platform Cost Inputs'!$H12),(1/'Platform Cost Inputs'!$G12)*'Platform Cost Inputs'!$I12,0)-IF(AND(W$5&lt;'Platform Cost Inputs'!$H12,X$5&gt;'Platform Cost Inputs'!$H12),('Platform Cost Inputs'!$F12+'Platform Cost Inputs'!$G12-W$5)*'Platform Cost Inputs'!$I12/'Platform Cost Inputs'!$G12,0))/Million</f>
        <v>0</v>
      </c>
      <c r="X15" s="7">
        <f>(IF(AND(X$5&gt;='Platform Cost Inputs'!$F12,X$5&lt;'Platform Cost Inputs'!$H12),(1/'Platform Cost Inputs'!$G12)*'Platform Cost Inputs'!$I12,0)-IF(AND(X$5&lt;'Platform Cost Inputs'!$H12,Y$5&gt;'Platform Cost Inputs'!$H12),('Platform Cost Inputs'!$F12+'Platform Cost Inputs'!$G12-X$5)*'Platform Cost Inputs'!$I12/'Platform Cost Inputs'!$G12,0))/Million</f>
        <v>0</v>
      </c>
      <c r="Y15" s="7">
        <f>(IF(AND(Y$5&gt;='Platform Cost Inputs'!$F12,Y$5&lt;'Platform Cost Inputs'!$H12),(1/'Platform Cost Inputs'!$G12)*'Platform Cost Inputs'!$I12,0)-IF(AND(Y$5&lt;'Platform Cost Inputs'!$H12,Z$5&gt;'Platform Cost Inputs'!$H12),('Platform Cost Inputs'!$F12+'Platform Cost Inputs'!$G12-Y$5)*'Platform Cost Inputs'!$I12/'Platform Cost Inputs'!$G12,0))/Million</f>
        <v>0</v>
      </c>
      <c r="Z15" s="7">
        <f>(IF(AND(Z$5&gt;='Platform Cost Inputs'!$F12,Z$5&lt;'Platform Cost Inputs'!$H12),(1/'Platform Cost Inputs'!$G12)*'Platform Cost Inputs'!$I12,0)-IF(AND(Z$5&lt;'Platform Cost Inputs'!$H12,AA$5&gt;'Platform Cost Inputs'!$H12),('Platform Cost Inputs'!$F12+'Platform Cost Inputs'!$G12-Z$5)*'Platform Cost Inputs'!$I12/'Platform Cost Inputs'!$G12,0))/Million</f>
        <v>0</v>
      </c>
    </row>
    <row r="16" spans="1:29" ht="15.75" x14ac:dyDescent="0.25">
      <c r="A16" s="56" t="str">
        <f t="shared" si="19"/>
        <v>Real Time LV Power Flow Analysis</v>
      </c>
      <c r="B16" t="s">
        <v>7</v>
      </c>
      <c r="C16" s="3" t="s">
        <v>9</v>
      </c>
      <c r="D16" s="24">
        <f t="shared" si="17"/>
        <v>1.0387195793681165</v>
      </c>
      <c r="E16" s="59">
        <f t="shared" si="18"/>
        <v>1.08186</v>
      </c>
      <c r="F16" s="59"/>
      <c r="G16" s="7">
        <f>(IF(AND(G$5&gt;='Platform Cost Inputs'!$F13,G$5&lt;'Platform Cost Inputs'!$H13),(1/'Platform Cost Inputs'!$G13)*'Platform Cost Inputs'!$I13,0)-IF(AND(G$5&lt;'Platform Cost Inputs'!$H13,H$5&gt;'Platform Cost Inputs'!$H13),('Platform Cost Inputs'!$F13+'Platform Cost Inputs'!$G13-G$5)*'Platform Cost Inputs'!$I13/'Platform Cost Inputs'!$G13,0))/Million</f>
        <v>0</v>
      </c>
      <c r="H16" s="7">
        <f>(IF(AND(H$5&gt;='Platform Cost Inputs'!$F13,H$5&lt;'Platform Cost Inputs'!$H13),(1/'Platform Cost Inputs'!$G13)*'Platform Cost Inputs'!$I13,0)-IF(AND(H$5&lt;'Platform Cost Inputs'!$H13,I$5&gt;'Platform Cost Inputs'!$H13),('Platform Cost Inputs'!$F13+'Platform Cost Inputs'!$G13-H$5)*'Platform Cost Inputs'!$I13/'Platform Cost Inputs'!$G13,0))/Million</f>
        <v>1.08186</v>
      </c>
      <c r="I16" s="7">
        <f>(IF(AND(I$5&gt;='Platform Cost Inputs'!$F13,I$5&lt;'Platform Cost Inputs'!$H13),(1/'Platform Cost Inputs'!$G13)*'Platform Cost Inputs'!$I13,0)-IF(AND(I$5&lt;'Platform Cost Inputs'!$H13,J$5&gt;'Platform Cost Inputs'!$H13),('Platform Cost Inputs'!$F13+'Platform Cost Inputs'!$G13-I$5)*'Platform Cost Inputs'!$I13/'Platform Cost Inputs'!$G13,0))/Million</f>
        <v>0</v>
      </c>
      <c r="J16" s="7">
        <f>(IF(AND(J$5&gt;='Platform Cost Inputs'!$F13,J$5&lt;'Platform Cost Inputs'!$H13),(1/'Platform Cost Inputs'!$G13)*'Platform Cost Inputs'!$I13,0)-IF(AND(J$5&lt;'Platform Cost Inputs'!$H13,K$5&gt;'Platform Cost Inputs'!$H13),('Platform Cost Inputs'!$F13+'Platform Cost Inputs'!$G13-J$5)*'Platform Cost Inputs'!$I13/'Platform Cost Inputs'!$G13,0))/Million</f>
        <v>0</v>
      </c>
      <c r="K16" s="7">
        <f>(IF(AND(K$5&gt;='Platform Cost Inputs'!$F13,K$5&lt;'Platform Cost Inputs'!$H13),(1/'Platform Cost Inputs'!$G13)*'Platform Cost Inputs'!$I13,0)-IF(AND(K$5&lt;'Platform Cost Inputs'!$H13,L$5&gt;'Platform Cost Inputs'!$H13),('Platform Cost Inputs'!$F13+'Platform Cost Inputs'!$G13-K$5)*'Platform Cost Inputs'!$I13/'Platform Cost Inputs'!$G13,0))/Million</f>
        <v>0</v>
      </c>
      <c r="L16" s="7">
        <f>(IF(AND(L$5&gt;='Platform Cost Inputs'!$F13,L$5&lt;'Platform Cost Inputs'!$H13),(1/'Platform Cost Inputs'!$G13)*'Platform Cost Inputs'!$I13,0)-IF(AND(L$5&lt;'Platform Cost Inputs'!$H13,M$5&gt;'Platform Cost Inputs'!$H13),('Platform Cost Inputs'!$F13+'Platform Cost Inputs'!$G13-L$5)*'Platform Cost Inputs'!$I13/'Platform Cost Inputs'!$G13,0))/Million</f>
        <v>0</v>
      </c>
      <c r="M16" s="7">
        <f>(IF(AND(M$5&gt;='Platform Cost Inputs'!$F13,M$5&lt;'Platform Cost Inputs'!$H13),(1/'Platform Cost Inputs'!$G13)*'Platform Cost Inputs'!$I13,0)-IF(AND(M$5&lt;'Platform Cost Inputs'!$H13,N$5&gt;'Platform Cost Inputs'!$H13),('Platform Cost Inputs'!$F13+'Platform Cost Inputs'!$G13-M$5)*'Platform Cost Inputs'!$I13/'Platform Cost Inputs'!$G13,0))/Million</f>
        <v>0</v>
      </c>
      <c r="N16" s="7">
        <f>(IF(AND(N$5&gt;='Platform Cost Inputs'!$F13,N$5&lt;'Platform Cost Inputs'!$H13),(1/'Platform Cost Inputs'!$G13)*'Platform Cost Inputs'!$I13,0)-IF(AND(N$5&lt;'Platform Cost Inputs'!$H13,O$5&gt;'Platform Cost Inputs'!$H13),('Platform Cost Inputs'!$F13+'Platform Cost Inputs'!$G13-N$5)*'Platform Cost Inputs'!$I13/'Platform Cost Inputs'!$G13,0))/Million</f>
        <v>0</v>
      </c>
      <c r="O16" s="7">
        <f>(IF(AND(O$5&gt;='Platform Cost Inputs'!$F13,O$5&lt;'Platform Cost Inputs'!$H13),(1/'Platform Cost Inputs'!$G13)*'Platform Cost Inputs'!$I13,0)-IF(AND(O$5&lt;'Platform Cost Inputs'!$H13,P$5&gt;'Platform Cost Inputs'!$H13),('Platform Cost Inputs'!$F13+'Platform Cost Inputs'!$G13-O$5)*'Platform Cost Inputs'!$I13/'Platform Cost Inputs'!$G13,0))/Million</f>
        <v>0</v>
      </c>
      <c r="P16" s="7">
        <f>(IF(AND(P$5&gt;='Platform Cost Inputs'!$F13,P$5&lt;'Platform Cost Inputs'!$H13),(1/'Platform Cost Inputs'!$G13)*'Platform Cost Inputs'!$I13,0)-IF(AND(P$5&lt;'Platform Cost Inputs'!$H13,Q$5&gt;'Platform Cost Inputs'!$H13),('Platform Cost Inputs'!$F13+'Platform Cost Inputs'!$G13-P$5)*'Platform Cost Inputs'!$I13/'Platform Cost Inputs'!$G13,0))/Million</f>
        <v>0</v>
      </c>
      <c r="Q16" s="7">
        <f>(IF(AND(Q$5&gt;='Platform Cost Inputs'!$F13,Q$5&lt;'Platform Cost Inputs'!$H13),(1/'Platform Cost Inputs'!$G13)*'Platform Cost Inputs'!$I13,0)-IF(AND(Q$5&lt;'Platform Cost Inputs'!$H13,R$5&gt;'Platform Cost Inputs'!$H13),('Platform Cost Inputs'!$F13+'Platform Cost Inputs'!$G13-Q$5)*'Platform Cost Inputs'!$I13/'Platform Cost Inputs'!$G13,0))/Million</f>
        <v>0</v>
      </c>
      <c r="R16" s="7">
        <f>(IF(AND(R$5&gt;='Platform Cost Inputs'!$F13,R$5&lt;'Platform Cost Inputs'!$H13),(1/'Platform Cost Inputs'!$G13)*'Platform Cost Inputs'!$I13,0)-IF(AND(R$5&lt;'Platform Cost Inputs'!$H13,S$5&gt;'Platform Cost Inputs'!$H13),('Platform Cost Inputs'!$F13+'Platform Cost Inputs'!$G13-R$5)*'Platform Cost Inputs'!$I13/'Platform Cost Inputs'!$G13,0))/Million</f>
        <v>0</v>
      </c>
      <c r="S16" s="7">
        <f>(IF(AND(S$5&gt;='Platform Cost Inputs'!$F13,S$5&lt;'Platform Cost Inputs'!$H13),(1/'Platform Cost Inputs'!$G13)*'Platform Cost Inputs'!$I13,0)-IF(AND(S$5&lt;'Platform Cost Inputs'!$H13,T$5&gt;'Platform Cost Inputs'!$H13),('Platform Cost Inputs'!$F13+'Platform Cost Inputs'!$G13-S$5)*'Platform Cost Inputs'!$I13/'Platform Cost Inputs'!$G13,0))/Million</f>
        <v>0</v>
      </c>
      <c r="T16" s="7">
        <f>(IF(AND(T$5&gt;='Platform Cost Inputs'!$F13,T$5&lt;'Platform Cost Inputs'!$H13),(1/'Platform Cost Inputs'!$G13)*'Platform Cost Inputs'!$I13,0)-IF(AND(T$5&lt;'Platform Cost Inputs'!$H13,U$5&gt;'Platform Cost Inputs'!$H13),('Platform Cost Inputs'!$F13+'Platform Cost Inputs'!$G13-T$5)*'Platform Cost Inputs'!$I13/'Platform Cost Inputs'!$G13,0))/Million</f>
        <v>0</v>
      </c>
      <c r="U16" s="7">
        <f>(IF(AND(U$5&gt;='Platform Cost Inputs'!$F13,U$5&lt;'Platform Cost Inputs'!$H13),(1/'Platform Cost Inputs'!$G13)*'Platform Cost Inputs'!$I13,0)-IF(AND(U$5&lt;'Platform Cost Inputs'!$H13,V$5&gt;'Platform Cost Inputs'!$H13),('Platform Cost Inputs'!$F13+'Platform Cost Inputs'!$G13-U$5)*'Platform Cost Inputs'!$I13/'Platform Cost Inputs'!$G13,0))/Million</f>
        <v>0</v>
      </c>
      <c r="V16" s="7">
        <f>(IF(AND(V$5&gt;='Platform Cost Inputs'!$F13,V$5&lt;'Platform Cost Inputs'!$H13),(1/'Platform Cost Inputs'!$G13)*'Platform Cost Inputs'!$I13,0)-IF(AND(V$5&lt;'Platform Cost Inputs'!$H13,W$5&gt;'Platform Cost Inputs'!$H13),('Platform Cost Inputs'!$F13+'Platform Cost Inputs'!$G13-V$5)*'Platform Cost Inputs'!$I13/'Platform Cost Inputs'!$G13,0))/Million</f>
        <v>0</v>
      </c>
      <c r="W16" s="7">
        <f>(IF(AND(W$5&gt;='Platform Cost Inputs'!$F13,W$5&lt;'Platform Cost Inputs'!$H13),(1/'Platform Cost Inputs'!$G13)*'Platform Cost Inputs'!$I13,0)-IF(AND(W$5&lt;'Platform Cost Inputs'!$H13,X$5&gt;'Platform Cost Inputs'!$H13),('Platform Cost Inputs'!$F13+'Platform Cost Inputs'!$G13-W$5)*'Platform Cost Inputs'!$I13/'Platform Cost Inputs'!$G13,0))/Million</f>
        <v>0</v>
      </c>
      <c r="X16" s="7">
        <f>(IF(AND(X$5&gt;='Platform Cost Inputs'!$F13,X$5&lt;'Platform Cost Inputs'!$H13),(1/'Platform Cost Inputs'!$G13)*'Platform Cost Inputs'!$I13,0)-IF(AND(X$5&lt;'Platform Cost Inputs'!$H13,Y$5&gt;'Platform Cost Inputs'!$H13),('Platform Cost Inputs'!$F13+'Platform Cost Inputs'!$G13-X$5)*'Platform Cost Inputs'!$I13/'Platform Cost Inputs'!$G13,0))/Million</f>
        <v>0</v>
      </c>
      <c r="Y16" s="7">
        <f>(IF(AND(Y$5&gt;='Platform Cost Inputs'!$F13,Y$5&lt;'Platform Cost Inputs'!$H13),(1/'Platform Cost Inputs'!$G13)*'Platform Cost Inputs'!$I13,0)-IF(AND(Y$5&lt;'Platform Cost Inputs'!$H13,Z$5&gt;'Platform Cost Inputs'!$H13),('Platform Cost Inputs'!$F13+'Platform Cost Inputs'!$G13-Y$5)*'Platform Cost Inputs'!$I13/'Platform Cost Inputs'!$G13,0))/Million</f>
        <v>0</v>
      </c>
      <c r="Z16" s="7">
        <f>(IF(AND(Z$5&gt;='Platform Cost Inputs'!$F13,Z$5&lt;'Platform Cost Inputs'!$H13),(1/'Platform Cost Inputs'!$G13)*'Platform Cost Inputs'!$I13,0)-IF(AND(Z$5&lt;'Platform Cost Inputs'!$H13,AA$5&gt;'Platform Cost Inputs'!$H13),('Platform Cost Inputs'!$F13+'Platform Cost Inputs'!$G13-Z$5)*'Platform Cost Inputs'!$I13/'Platform Cost Inputs'!$G13,0))/Million</f>
        <v>0</v>
      </c>
    </row>
    <row r="17" spans="1:26" ht="15.75" x14ac:dyDescent="0.25">
      <c r="A17" s="56" t="str">
        <f t="shared" si="19"/>
        <v>LV Model Extension</v>
      </c>
      <c r="B17" t="s">
        <v>7</v>
      </c>
      <c r="C17" s="3" t="s">
        <v>9</v>
      </c>
      <c r="D17" s="24">
        <f t="shared" si="17"/>
        <v>3.0968731529508622</v>
      </c>
      <c r="E17" s="59">
        <f t="shared" si="18"/>
        <v>3.1674240000000005</v>
      </c>
      <c r="F17" s="59"/>
      <c r="G17" s="7">
        <f>(IF(AND(G$5&gt;='Platform Cost Inputs'!$F14,G$5&lt;'Platform Cost Inputs'!$H14),(1/'Platform Cost Inputs'!$G14)*'Platform Cost Inputs'!$I14,0)-IF(AND(G$5&lt;'Platform Cost Inputs'!$H14,H$5&gt;'Platform Cost Inputs'!$H14),('Platform Cost Inputs'!$F14+'Platform Cost Inputs'!$G14-G$5)*'Platform Cost Inputs'!$I14/'Platform Cost Inputs'!$G14,0))/Million</f>
        <v>2.1116160000000002</v>
      </c>
      <c r="H17" s="7">
        <f>(IF(AND(H$5&gt;='Platform Cost Inputs'!$F14,H$5&lt;'Platform Cost Inputs'!$H14),(1/'Platform Cost Inputs'!$G14)*'Platform Cost Inputs'!$I14,0)-IF(AND(H$5&lt;'Platform Cost Inputs'!$H14,I$5&gt;'Platform Cost Inputs'!$H14),('Platform Cost Inputs'!$F14+'Platform Cost Inputs'!$G14-H$5)*'Platform Cost Inputs'!$I14/'Platform Cost Inputs'!$G14,0))/Million</f>
        <v>1.0558080000000001</v>
      </c>
      <c r="I17" s="7">
        <f>(IF(AND(I$5&gt;='Platform Cost Inputs'!$F14,I$5&lt;'Platform Cost Inputs'!$H14),(1/'Platform Cost Inputs'!$G14)*'Platform Cost Inputs'!$I14,0)-IF(AND(I$5&lt;'Platform Cost Inputs'!$H14,J$5&gt;'Platform Cost Inputs'!$H14),('Platform Cost Inputs'!$F14+'Platform Cost Inputs'!$G14-I$5)*'Platform Cost Inputs'!$I14/'Platform Cost Inputs'!$G14,0))/Million</f>
        <v>0</v>
      </c>
      <c r="J17" s="7">
        <f>(IF(AND(J$5&gt;='Platform Cost Inputs'!$F14,J$5&lt;'Platform Cost Inputs'!$H14),(1/'Platform Cost Inputs'!$G14)*'Platform Cost Inputs'!$I14,0)-IF(AND(J$5&lt;'Platform Cost Inputs'!$H14,K$5&gt;'Platform Cost Inputs'!$H14),('Platform Cost Inputs'!$F14+'Platform Cost Inputs'!$G14-J$5)*'Platform Cost Inputs'!$I14/'Platform Cost Inputs'!$G14,0))/Million</f>
        <v>0</v>
      </c>
      <c r="K17" s="7">
        <f>(IF(AND(K$5&gt;='Platform Cost Inputs'!$F14,K$5&lt;'Platform Cost Inputs'!$H14),(1/'Platform Cost Inputs'!$G14)*'Platform Cost Inputs'!$I14,0)-IF(AND(K$5&lt;'Platform Cost Inputs'!$H14,L$5&gt;'Platform Cost Inputs'!$H14),('Platform Cost Inputs'!$F14+'Platform Cost Inputs'!$G14-K$5)*'Platform Cost Inputs'!$I14/'Platform Cost Inputs'!$G14,0))/Million</f>
        <v>0</v>
      </c>
      <c r="L17" s="7">
        <f>(IF(AND(L$5&gt;='Platform Cost Inputs'!$F14,L$5&lt;'Platform Cost Inputs'!$H14),(1/'Platform Cost Inputs'!$G14)*'Platform Cost Inputs'!$I14,0)-IF(AND(L$5&lt;'Platform Cost Inputs'!$H14,M$5&gt;'Platform Cost Inputs'!$H14),('Platform Cost Inputs'!$F14+'Platform Cost Inputs'!$G14-L$5)*'Platform Cost Inputs'!$I14/'Platform Cost Inputs'!$G14,0))/Million</f>
        <v>0</v>
      </c>
      <c r="M17" s="7">
        <f>(IF(AND(M$5&gt;='Platform Cost Inputs'!$F14,M$5&lt;'Platform Cost Inputs'!$H14),(1/'Platform Cost Inputs'!$G14)*'Platform Cost Inputs'!$I14,0)-IF(AND(M$5&lt;'Platform Cost Inputs'!$H14,N$5&gt;'Platform Cost Inputs'!$H14),('Platform Cost Inputs'!$F14+'Platform Cost Inputs'!$G14-M$5)*'Platform Cost Inputs'!$I14/'Platform Cost Inputs'!$G14,0))/Million</f>
        <v>0</v>
      </c>
      <c r="N17" s="7">
        <f>(IF(AND(N$5&gt;='Platform Cost Inputs'!$F14,N$5&lt;'Platform Cost Inputs'!$H14),(1/'Platform Cost Inputs'!$G14)*'Platform Cost Inputs'!$I14,0)-IF(AND(N$5&lt;'Platform Cost Inputs'!$H14,O$5&gt;'Platform Cost Inputs'!$H14),('Platform Cost Inputs'!$F14+'Platform Cost Inputs'!$G14-N$5)*'Platform Cost Inputs'!$I14/'Platform Cost Inputs'!$G14,0))/Million</f>
        <v>0</v>
      </c>
      <c r="O17" s="7">
        <f>(IF(AND(O$5&gt;='Platform Cost Inputs'!$F14,O$5&lt;'Platform Cost Inputs'!$H14),(1/'Platform Cost Inputs'!$G14)*'Platform Cost Inputs'!$I14,0)-IF(AND(O$5&lt;'Platform Cost Inputs'!$H14,P$5&gt;'Platform Cost Inputs'!$H14),('Platform Cost Inputs'!$F14+'Platform Cost Inputs'!$G14-O$5)*'Platform Cost Inputs'!$I14/'Platform Cost Inputs'!$G14,0))/Million</f>
        <v>0</v>
      </c>
      <c r="P17" s="7">
        <f>(IF(AND(P$5&gt;='Platform Cost Inputs'!$F14,P$5&lt;'Platform Cost Inputs'!$H14),(1/'Platform Cost Inputs'!$G14)*'Platform Cost Inputs'!$I14,0)-IF(AND(P$5&lt;'Platform Cost Inputs'!$H14,Q$5&gt;'Platform Cost Inputs'!$H14),('Platform Cost Inputs'!$F14+'Platform Cost Inputs'!$G14-P$5)*'Platform Cost Inputs'!$I14/'Platform Cost Inputs'!$G14,0))/Million</f>
        <v>0</v>
      </c>
      <c r="Q17" s="7">
        <f>(IF(AND(Q$5&gt;='Platform Cost Inputs'!$F14,Q$5&lt;'Platform Cost Inputs'!$H14),(1/'Platform Cost Inputs'!$G14)*'Platform Cost Inputs'!$I14,0)-IF(AND(Q$5&lt;'Platform Cost Inputs'!$H14,R$5&gt;'Platform Cost Inputs'!$H14),('Platform Cost Inputs'!$F14+'Platform Cost Inputs'!$G14-Q$5)*'Platform Cost Inputs'!$I14/'Platform Cost Inputs'!$G14,0))/Million</f>
        <v>0</v>
      </c>
      <c r="R17" s="7">
        <f>(IF(AND(R$5&gt;='Platform Cost Inputs'!$F14,R$5&lt;'Platform Cost Inputs'!$H14),(1/'Platform Cost Inputs'!$G14)*'Platform Cost Inputs'!$I14,0)-IF(AND(R$5&lt;'Platform Cost Inputs'!$H14,S$5&gt;'Platform Cost Inputs'!$H14),('Platform Cost Inputs'!$F14+'Platform Cost Inputs'!$G14-R$5)*'Platform Cost Inputs'!$I14/'Platform Cost Inputs'!$G14,0))/Million</f>
        <v>0</v>
      </c>
      <c r="S17" s="7">
        <f>(IF(AND(S$5&gt;='Platform Cost Inputs'!$F14,S$5&lt;'Platform Cost Inputs'!$H14),(1/'Platform Cost Inputs'!$G14)*'Platform Cost Inputs'!$I14,0)-IF(AND(S$5&lt;'Platform Cost Inputs'!$H14,T$5&gt;'Platform Cost Inputs'!$H14),('Platform Cost Inputs'!$F14+'Platform Cost Inputs'!$G14-S$5)*'Platform Cost Inputs'!$I14/'Platform Cost Inputs'!$G14,0))/Million</f>
        <v>0</v>
      </c>
      <c r="T17" s="7">
        <f>(IF(AND(T$5&gt;='Platform Cost Inputs'!$F14,T$5&lt;'Platform Cost Inputs'!$H14),(1/'Platform Cost Inputs'!$G14)*'Platform Cost Inputs'!$I14,0)-IF(AND(T$5&lt;'Platform Cost Inputs'!$H14,U$5&gt;'Platform Cost Inputs'!$H14),('Platform Cost Inputs'!$F14+'Platform Cost Inputs'!$G14-T$5)*'Platform Cost Inputs'!$I14/'Platform Cost Inputs'!$G14,0))/Million</f>
        <v>0</v>
      </c>
      <c r="U17" s="7">
        <f>(IF(AND(U$5&gt;='Platform Cost Inputs'!$F14,U$5&lt;'Platform Cost Inputs'!$H14),(1/'Platform Cost Inputs'!$G14)*'Platform Cost Inputs'!$I14,0)-IF(AND(U$5&lt;'Platform Cost Inputs'!$H14,V$5&gt;'Platform Cost Inputs'!$H14),('Platform Cost Inputs'!$F14+'Platform Cost Inputs'!$G14-U$5)*'Platform Cost Inputs'!$I14/'Platform Cost Inputs'!$G14,0))/Million</f>
        <v>0</v>
      </c>
      <c r="V17" s="7">
        <f>(IF(AND(V$5&gt;='Platform Cost Inputs'!$F14,V$5&lt;'Platform Cost Inputs'!$H14),(1/'Platform Cost Inputs'!$G14)*'Platform Cost Inputs'!$I14,0)-IF(AND(V$5&lt;'Platform Cost Inputs'!$H14,W$5&gt;'Platform Cost Inputs'!$H14),('Platform Cost Inputs'!$F14+'Platform Cost Inputs'!$G14-V$5)*'Platform Cost Inputs'!$I14/'Platform Cost Inputs'!$G14,0))/Million</f>
        <v>0</v>
      </c>
      <c r="W17" s="7">
        <f>(IF(AND(W$5&gt;='Platform Cost Inputs'!$F14,W$5&lt;'Platform Cost Inputs'!$H14),(1/'Platform Cost Inputs'!$G14)*'Platform Cost Inputs'!$I14,0)-IF(AND(W$5&lt;'Platform Cost Inputs'!$H14,X$5&gt;'Platform Cost Inputs'!$H14),('Platform Cost Inputs'!$F14+'Platform Cost Inputs'!$G14-W$5)*'Platform Cost Inputs'!$I14/'Platform Cost Inputs'!$G14,0))/Million</f>
        <v>0</v>
      </c>
      <c r="X17" s="7">
        <f>(IF(AND(X$5&gt;='Platform Cost Inputs'!$F14,X$5&lt;'Platform Cost Inputs'!$H14),(1/'Platform Cost Inputs'!$G14)*'Platform Cost Inputs'!$I14,0)-IF(AND(X$5&lt;'Platform Cost Inputs'!$H14,Y$5&gt;'Platform Cost Inputs'!$H14),('Platform Cost Inputs'!$F14+'Platform Cost Inputs'!$G14-X$5)*'Platform Cost Inputs'!$I14/'Platform Cost Inputs'!$G14,0))/Million</f>
        <v>0</v>
      </c>
      <c r="Y17" s="7">
        <f>(IF(AND(Y$5&gt;='Platform Cost Inputs'!$F14,Y$5&lt;'Platform Cost Inputs'!$H14),(1/'Platform Cost Inputs'!$G14)*'Platform Cost Inputs'!$I14,0)-IF(AND(Y$5&lt;'Platform Cost Inputs'!$H14,Z$5&gt;'Platform Cost Inputs'!$H14),('Platform Cost Inputs'!$F14+'Platform Cost Inputs'!$G14-Y$5)*'Platform Cost Inputs'!$I14/'Platform Cost Inputs'!$G14,0))/Million</f>
        <v>0</v>
      </c>
      <c r="Z17" s="7">
        <f>(IF(AND(Z$5&gt;='Platform Cost Inputs'!$F14,Z$5&lt;'Platform Cost Inputs'!$H14),(1/'Platform Cost Inputs'!$G14)*'Platform Cost Inputs'!$I14,0)-IF(AND(Z$5&lt;'Platform Cost Inputs'!$H14,AA$5&gt;'Platform Cost Inputs'!$H14),('Platform Cost Inputs'!$F14+'Platform Cost Inputs'!$G14-Z$5)*'Platform Cost Inputs'!$I14/'Platform Cost Inputs'!$G14,0))/Million</f>
        <v>0</v>
      </c>
    </row>
    <row r="18" spans="1:26" ht="15.75" x14ac:dyDescent="0.25">
      <c r="A18" s="56" t="str">
        <f t="shared" si="19"/>
        <v>Real Time Grid Monitoring and Control</v>
      </c>
      <c r="B18" t="s">
        <v>7</v>
      </c>
      <c r="C18" s="3" t="s">
        <v>9</v>
      </c>
      <c r="D18" s="24">
        <f t="shared" ref="D18" si="20">SUMPRODUCT(G18:Z18,G$7:Z$7)</f>
        <v>2.083180699309525</v>
      </c>
      <c r="E18" s="59">
        <f t="shared" si="18"/>
        <v>2.1697000000000002</v>
      </c>
      <c r="F18" s="59"/>
      <c r="G18" s="7">
        <f>(IF(AND(G$5&gt;='Platform Cost Inputs'!$F15,G$5&lt;'Platform Cost Inputs'!$H15),(1/'Platform Cost Inputs'!$G15)*'Platform Cost Inputs'!$I15,0)-IF(AND(G$5&lt;'Platform Cost Inputs'!$H15,H$5&gt;'Platform Cost Inputs'!$H15),('Platform Cost Inputs'!$F15+'Platform Cost Inputs'!$G15-G$5)*'Platform Cost Inputs'!$I15/'Platform Cost Inputs'!$G15,0))/Million</f>
        <v>0</v>
      </c>
      <c r="H18" s="7">
        <f>(IF(AND(H$5&gt;='Platform Cost Inputs'!$F15,H$5&lt;'Platform Cost Inputs'!$H15),(1/'Platform Cost Inputs'!$G15)*'Platform Cost Inputs'!$I15,0)-IF(AND(H$5&lt;'Platform Cost Inputs'!$H15,I$5&gt;'Platform Cost Inputs'!$H15),('Platform Cost Inputs'!$F15+'Platform Cost Inputs'!$G15-H$5)*'Platform Cost Inputs'!$I15/'Platform Cost Inputs'!$G15,0))/Million</f>
        <v>2.1697000000000002</v>
      </c>
      <c r="I18" s="7">
        <f>(IF(AND(I$5&gt;='Platform Cost Inputs'!$F15,I$5&lt;'Platform Cost Inputs'!$H15),(1/'Platform Cost Inputs'!$G15)*'Platform Cost Inputs'!$I15,0)-IF(AND(I$5&lt;'Platform Cost Inputs'!$H15,J$5&gt;'Platform Cost Inputs'!$H15),('Platform Cost Inputs'!$F15+'Platform Cost Inputs'!$G15-I$5)*'Platform Cost Inputs'!$I15/'Platform Cost Inputs'!$G15,0))/Million</f>
        <v>0</v>
      </c>
      <c r="J18" s="7">
        <f>(IF(AND(J$5&gt;='Platform Cost Inputs'!$F15,J$5&lt;'Platform Cost Inputs'!$H15),(1/'Platform Cost Inputs'!$G15)*'Platform Cost Inputs'!$I15,0)-IF(AND(J$5&lt;'Platform Cost Inputs'!$H15,K$5&gt;'Platform Cost Inputs'!$H15),('Platform Cost Inputs'!$F15+'Platform Cost Inputs'!$G15-J$5)*'Platform Cost Inputs'!$I15/'Platform Cost Inputs'!$G15,0))/Million</f>
        <v>0</v>
      </c>
      <c r="K18" s="7">
        <f>(IF(AND(K$5&gt;='Platform Cost Inputs'!$F15,K$5&lt;'Platform Cost Inputs'!$H15),(1/'Platform Cost Inputs'!$G15)*'Platform Cost Inputs'!$I15,0)-IF(AND(K$5&lt;'Platform Cost Inputs'!$H15,L$5&gt;'Platform Cost Inputs'!$H15),('Platform Cost Inputs'!$F15+'Platform Cost Inputs'!$G15-K$5)*'Platform Cost Inputs'!$I15/'Platform Cost Inputs'!$G15,0))/Million</f>
        <v>0</v>
      </c>
      <c r="L18" s="7">
        <f>(IF(AND(L$5&gt;='Platform Cost Inputs'!$F15,L$5&lt;'Platform Cost Inputs'!$H15),(1/'Platform Cost Inputs'!$G15)*'Platform Cost Inputs'!$I15,0)-IF(AND(L$5&lt;'Platform Cost Inputs'!$H15,M$5&gt;'Platform Cost Inputs'!$H15),('Platform Cost Inputs'!$F15+'Platform Cost Inputs'!$G15-L$5)*'Platform Cost Inputs'!$I15/'Platform Cost Inputs'!$G15,0))/Million</f>
        <v>0</v>
      </c>
      <c r="M18" s="7">
        <f>(IF(AND(M$5&gt;='Platform Cost Inputs'!$F15,M$5&lt;'Platform Cost Inputs'!$H15),(1/'Platform Cost Inputs'!$G15)*'Platform Cost Inputs'!$I15,0)-IF(AND(M$5&lt;'Platform Cost Inputs'!$H15,N$5&gt;'Platform Cost Inputs'!$H15),('Platform Cost Inputs'!$F15+'Platform Cost Inputs'!$G15-M$5)*'Platform Cost Inputs'!$I15/'Platform Cost Inputs'!$G15,0))/Million</f>
        <v>0</v>
      </c>
      <c r="N18" s="7">
        <f>(IF(AND(N$5&gt;='Platform Cost Inputs'!$F15,N$5&lt;'Platform Cost Inputs'!$H15),(1/'Platform Cost Inputs'!$G15)*'Platform Cost Inputs'!$I15,0)-IF(AND(N$5&lt;'Platform Cost Inputs'!$H15,O$5&gt;'Platform Cost Inputs'!$H15),('Platform Cost Inputs'!$F15+'Platform Cost Inputs'!$G15-N$5)*'Platform Cost Inputs'!$I15/'Platform Cost Inputs'!$G15,0))/Million</f>
        <v>0</v>
      </c>
      <c r="O18" s="7">
        <f>(IF(AND(O$5&gt;='Platform Cost Inputs'!$F15,O$5&lt;'Platform Cost Inputs'!$H15),(1/'Platform Cost Inputs'!$G15)*'Platform Cost Inputs'!$I15,0)-IF(AND(O$5&lt;'Platform Cost Inputs'!$H15,P$5&gt;'Platform Cost Inputs'!$H15),('Platform Cost Inputs'!$F15+'Platform Cost Inputs'!$G15-O$5)*'Platform Cost Inputs'!$I15/'Platform Cost Inputs'!$G15,0))/Million</f>
        <v>0</v>
      </c>
      <c r="P18" s="7">
        <f>(IF(AND(P$5&gt;='Platform Cost Inputs'!$F15,P$5&lt;'Platform Cost Inputs'!$H15),(1/'Platform Cost Inputs'!$G15)*'Platform Cost Inputs'!$I15,0)-IF(AND(P$5&lt;'Platform Cost Inputs'!$H15,Q$5&gt;'Platform Cost Inputs'!$H15),('Platform Cost Inputs'!$F15+'Platform Cost Inputs'!$G15-P$5)*'Platform Cost Inputs'!$I15/'Platform Cost Inputs'!$G15,0))/Million</f>
        <v>0</v>
      </c>
      <c r="Q18" s="7">
        <f>(IF(AND(Q$5&gt;='Platform Cost Inputs'!$F15,Q$5&lt;'Platform Cost Inputs'!$H15),(1/'Platform Cost Inputs'!$G15)*'Platform Cost Inputs'!$I15,0)-IF(AND(Q$5&lt;'Platform Cost Inputs'!$H15,R$5&gt;'Platform Cost Inputs'!$H15),('Platform Cost Inputs'!$F15+'Platform Cost Inputs'!$G15-Q$5)*'Platform Cost Inputs'!$I15/'Platform Cost Inputs'!$G15,0))/Million</f>
        <v>0</v>
      </c>
      <c r="R18" s="7">
        <f>(IF(AND(R$5&gt;='Platform Cost Inputs'!$F15,R$5&lt;'Platform Cost Inputs'!$H15),(1/'Platform Cost Inputs'!$G15)*'Platform Cost Inputs'!$I15,0)-IF(AND(R$5&lt;'Platform Cost Inputs'!$H15,S$5&gt;'Platform Cost Inputs'!$H15),('Platform Cost Inputs'!$F15+'Platform Cost Inputs'!$G15-R$5)*'Platform Cost Inputs'!$I15/'Platform Cost Inputs'!$G15,0))/Million</f>
        <v>0</v>
      </c>
      <c r="S18" s="7">
        <f>(IF(AND(S$5&gt;='Platform Cost Inputs'!$F15,S$5&lt;'Platform Cost Inputs'!$H15),(1/'Platform Cost Inputs'!$G15)*'Platform Cost Inputs'!$I15,0)-IF(AND(S$5&lt;'Platform Cost Inputs'!$H15,T$5&gt;'Platform Cost Inputs'!$H15),('Platform Cost Inputs'!$F15+'Platform Cost Inputs'!$G15-S$5)*'Platform Cost Inputs'!$I15/'Platform Cost Inputs'!$G15,0))/Million</f>
        <v>0</v>
      </c>
      <c r="T18" s="7">
        <f>(IF(AND(T$5&gt;='Platform Cost Inputs'!$F15,T$5&lt;'Platform Cost Inputs'!$H15),(1/'Platform Cost Inputs'!$G15)*'Platform Cost Inputs'!$I15,0)-IF(AND(T$5&lt;'Platform Cost Inputs'!$H15,U$5&gt;'Platform Cost Inputs'!$H15),('Platform Cost Inputs'!$F15+'Platform Cost Inputs'!$G15-T$5)*'Platform Cost Inputs'!$I15/'Platform Cost Inputs'!$G15,0))/Million</f>
        <v>0</v>
      </c>
      <c r="U18" s="7">
        <f>(IF(AND(U$5&gt;='Platform Cost Inputs'!$F15,U$5&lt;'Platform Cost Inputs'!$H15),(1/'Platform Cost Inputs'!$G15)*'Platform Cost Inputs'!$I15,0)-IF(AND(U$5&lt;'Platform Cost Inputs'!$H15,V$5&gt;'Platform Cost Inputs'!$H15),('Platform Cost Inputs'!$F15+'Platform Cost Inputs'!$G15-U$5)*'Platform Cost Inputs'!$I15/'Platform Cost Inputs'!$G15,0))/Million</f>
        <v>0</v>
      </c>
      <c r="V18" s="7">
        <f>(IF(AND(V$5&gt;='Platform Cost Inputs'!$F15,V$5&lt;'Platform Cost Inputs'!$H15),(1/'Platform Cost Inputs'!$G15)*'Platform Cost Inputs'!$I15,0)-IF(AND(V$5&lt;'Platform Cost Inputs'!$H15,W$5&gt;'Platform Cost Inputs'!$H15),('Platform Cost Inputs'!$F15+'Platform Cost Inputs'!$G15-V$5)*'Platform Cost Inputs'!$I15/'Platform Cost Inputs'!$G15,0))/Million</f>
        <v>0</v>
      </c>
      <c r="W18" s="7">
        <f>(IF(AND(W$5&gt;='Platform Cost Inputs'!$F15,W$5&lt;'Platform Cost Inputs'!$H15),(1/'Platform Cost Inputs'!$G15)*'Platform Cost Inputs'!$I15,0)-IF(AND(W$5&lt;'Platform Cost Inputs'!$H15,X$5&gt;'Platform Cost Inputs'!$H15),('Platform Cost Inputs'!$F15+'Platform Cost Inputs'!$G15-W$5)*'Platform Cost Inputs'!$I15/'Platform Cost Inputs'!$G15,0))/Million</f>
        <v>0</v>
      </c>
      <c r="X18" s="7">
        <f>(IF(AND(X$5&gt;='Platform Cost Inputs'!$F15,X$5&lt;'Platform Cost Inputs'!$H15),(1/'Platform Cost Inputs'!$G15)*'Platform Cost Inputs'!$I15,0)-IF(AND(X$5&lt;'Platform Cost Inputs'!$H15,Y$5&gt;'Platform Cost Inputs'!$H15),('Platform Cost Inputs'!$F15+'Platform Cost Inputs'!$G15-X$5)*'Platform Cost Inputs'!$I15/'Platform Cost Inputs'!$G15,0))/Million</f>
        <v>0</v>
      </c>
      <c r="Y18" s="7">
        <f>(IF(AND(Y$5&gt;='Platform Cost Inputs'!$F15,Y$5&lt;'Platform Cost Inputs'!$H15),(1/'Platform Cost Inputs'!$G15)*'Platform Cost Inputs'!$I15,0)-IF(AND(Y$5&lt;'Platform Cost Inputs'!$H15,Z$5&gt;'Platform Cost Inputs'!$H15),('Platform Cost Inputs'!$F15+'Platform Cost Inputs'!$G15-Y$5)*'Platform Cost Inputs'!$I15/'Platform Cost Inputs'!$G15,0))/Million</f>
        <v>0</v>
      </c>
      <c r="Z18" s="7">
        <f>(IF(AND(Z$5&gt;='Platform Cost Inputs'!$F15,Z$5&lt;'Platform Cost Inputs'!$H15),(1/'Platform Cost Inputs'!$G15)*'Platform Cost Inputs'!$I15,0)-IF(AND(Z$5&lt;'Platform Cost Inputs'!$H15,AA$5&gt;'Platform Cost Inputs'!$H15),('Platform Cost Inputs'!$F15+'Platform Cost Inputs'!$G15-Z$5)*'Platform Cost Inputs'!$I15/'Platform Cost Inputs'!$G15,0))/Million</f>
        <v>0</v>
      </c>
    </row>
    <row r="19" spans="1:26" ht="15.75" x14ac:dyDescent="0.25">
      <c r="A19" s="56" t="str">
        <f t="shared" si="19"/>
        <v>LV Management Capability</v>
      </c>
      <c r="B19" t="s">
        <v>7</v>
      </c>
      <c r="C19" s="3" t="s">
        <v>9</v>
      </c>
      <c r="D19" s="24">
        <f t="shared" ref="D19:D22" si="21">SUMPRODUCT(G19:Z19,G$7:Z$7)</f>
        <v>0.90254444399921352</v>
      </c>
      <c r="E19" s="59">
        <f t="shared" si="18"/>
        <v>0.96587999999999996</v>
      </c>
      <c r="F19" s="59"/>
      <c r="G19" s="7">
        <f>(IF(AND(G$5&gt;='Platform Cost Inputs'!$F17,G$5&lt;'Platform Cost Inputs'!$H17),(1/'Platform Cost Inputs'!$G17)*'Platform Cost Inputs'!$I17,0)-IF(AND(G$5&lt;'Platform Cost Inputs'!$H17,H$5&gt;'Platform Cost Inputs'!$H17),('Platform Cost Inputs'!$F17+'Platform Cost Inputs'!$G17-G$5)*'Platform Cost Inputs'!$I17/'Platform Cost Inputs'!$G17,0))/Million</f>
        <v>0</v>
      </c>
      <c r="H19" s="7">
        <f>(IF(AND(H$5&gt;='Platform Cost Inputs'!$F17,H$5&lt;'Platform Cost Inputs'!$H17),(1/'Platform Cost Inputs'!$G17)*'Platform Cost Inputs'!$I17,0)-IF(AND(H$5&lt;'Platform Cost Inputs'!$H17,I$5&gt;'Platform Cost Inputs'!$H17),('Platform Cost Inputs'!$F17+'Platform Cost Inputs'!$G17-H$5)*'Platform Cost Inputs'!$I17/'Platform Cost Inputs'!$G17,0))/Million</f>
        <v>0</v>
      </c>
      <c r="I19" s="7">
        <f>(IF(AND(I$5&gt;='Platform Cost Inputs'!$F17,I$5&lt;'Platform Cost Inputs'!$H17),(1/'Platform Cost Inputs'!$G17)*'Platform Cost Inputs'!$I17,0)-IF(AND(I$5&lt;'Platform Cost Inputs'!$H17,J$5&gt;'Platform Cost Inputs'!$H17),('Platform Cost Inputs'!$F17+'Platform Cost Inputs'!$G17-I$5)*'Platform Cost Inputs'!$I17/'Platform Cost Inputs'!$G17,0))/Million</f>
        <v>0.96587999999999996</v>
      </c>
      <c r="J19" s="7">
        <f>(IF(AND(J$5&gt;='Platform Cost Inputs'!$F17,J$5&lt;'Platform Cost Inputs'!$H17),(1/'Platform Cost Inputs'!$G17)*'Platform Cost Inputs'!$I17,0)-IF(AND(J$5&lt;'Platform Cost Inputs'!$H17,K$5&gt;'Platform Cost Inputs'!$H17),('Platform Cost Inputs'!$F17+'Platform Cost Inputs'!$G17-J$5)*'Platform Cost Inputs'!$I17/'Platform Cost Inputs'!$G17,0))/Million</f>
        <v>0</v>
      </c>
      <c r="K19" s="7">
        <f>(IF(AND(K$5&gt;='Platform Cost Inputs'!$F17,K$5&lt;'Platform Cost Inputs'!$H17),(1/'Platform Cost Inputs'!$G17)*'Platform Cost Inputs'!$I17,0)-IF(AND(K$5&lt;'Platform Cost Inputs'!$H17,L$5&gt;'Platform Cost Inputs'!$H17),('Platform Cost Inputs'!$F17+'Platform Cost Inputs'!$G17-K$5)*'Platform Cost Inputs'!$I17/'Platform Cost Inputs'!$G17,0))/Million</f>
        <v>0</v>
      </c>
      <c r="L19" s="7">
        <f>(IF(AND(L$5&gt;='Platform Cost Inputs'!$F17,L$5&lt;'Platform Cost Inputs'!$H17),(1/'Platform Cost Inputs'!$G17)*'Platform Cost Inputs'!$I17,0)-IF(AND(L$5&lt;'Platform Cost Inputs'!$H17,M$5&gt;'Platform Cost Inputs'!$H17),('Platform Cost Inputs'!$F17+'Platform Cost Inputs'!$G17-L$5)*'Platform Cost Inputs'!$I17/'Platform Cost Inputs'!$G17,0))/Million</f>
        <v>0</v>
      </c>
      <c r="M19" s="7">
        <f>(IF(AND(M$5&gt;='Platform Cost Inputs'!$F17,M$5&lt;'Platform Cost Inputs'!$H17),(1/'Platform Cost Inputs'!$G17)*'Platform Cost Inputs'!$I17,0)-IF(AND(M$5&lt;'Platform Cost Inputs'!$H17,N$5&gt;'Platform Cost Inputs'!$H17),('Platform Cost Inputs'!$F17+'Platform Cost Inputs'!$G17-M$5)*'Platform Cost Inputs'!$I17/'Platform Cost Inputs'!$G17,0))/Million</f>
        <v>0</v>
      </c>
      <c r="N19" s="7">
        <f>(IF(AND(N$5&gt;='Platform Cost Inputs'!$F17,N$5&lt;'Platform Cost Inputs'!$H17),(1/'Platform Cost Inputs'!$G17)*'Platform Cost Inputs'!$I17,0)-IF(AND(N$5&lt;'Platform Cost Inputs'!$H17,O$5&gt;'Platform Cost Inputs'!$H17),('Platform Cost Inputs'!$F17+'Platform Cost Inputs'!$G17-N$5)*'Platform Cost Inputs'!$I17/'Platform Cost Inputs'!$G17,0))/Million</f>
        <v>0</v>
      </c>
      <c r="O19" s="7">
        <f>(IF(AND(O$5&gt;='Platform Cost Inputs'!$F17,O$5&lt;'Platform Cost Inputs'!$H17),(1/'Platform Cost Inputs'!$G17)*'Platform Cost Inputs'!$I17,0)-IF(AND(O$5&lt;'Platform Cost Inputs'!$H17,P$5&gt;'Platform Cost Inputs'!$H17),('Platform Cost Inputs'!$F17+'Platform Cost Inputs'!$G17-O$5)*'Platform Cost Inputs'!$I17/'Platform Cost Inputs'!$G17,0))/Million</f>
        <v>0</v>
      </c>
      <c r="P19" s="7">
        <f>(IF(AND(P$5&gt;='Platform Cost Inputs'!$F17,P$5&lt;'Platform Cost Inputs'!$H17),(1/'Platform Cost Inputs'!$G17)*'Platform Cost Inputs'!$I17,0)-IF(AND(P$5&lt;'Platform Cost Inputs'!$H17,Q$5&gt;'Platform Cost Inputs'!$H17),('Platform Cost Inputs'!$F17+'Platform Cost Inputs'!$G17-P$5)*'Platform Cost Inputs'!$I17/'Platform Cost Inputs'!$G17,0))/Million</f>
        <v>0</v>
      </c>
      <c r="Q19" s="7">
        <f>(IF(AND(Q$5&gt;='Platform Cost Inputs'!$F17,Q$5&lt;'Platform Cost Inputs'!$H17),(1/'Platform Cost Inputs'!$G17)*'Platform Cost Inputs'!$I17,0)-IF(AND(Q$5&lt;'Platform Cost Inputs'!$H17,R$5&gt;'Platform Cost Inputs'!$H17),('Platform Cost Inputs'!$F17+'Platform Cost Inputs'!$G17-Q$5)*'Platform Cost Inputs'!$I17/'Platform Cost Inputs'!$G17,0))/Million</f>
        <v>0</v>
      </c>
      <c r="R19" s="7">
        <f>(IF(AND(R$5&gt;='Platform Cost Inputs'!$F17,R$5&lt;'Platform Cost Inputs'!$H17),(1/'Platform Cost Inputs'!$G17)*'Platform Cost Inputs'!$I17,0)-IF(AND(R$5&lt;'Platform Cost Inputs'!$H17,S$5&gt;'Platform Cost Inputs'!$H17),('Platform Cost Inputs'!$F17+'Platform Cost Inputs'!$G17-R$5)*'Platform Cost Inputs'!$I17/'Platform Cost Inputs'!$G17,0))/Million</f>
        <v>0</v>
      </c>
      <c r="S19" s="7">
        <f>(IF(AND(S$5&gt;='Platform Cost Inputs'!$F17,S$5&lt;'Platform Cost Inputs'!$H17),(1/'Platform Cost Inputs'!$G17)*'Platform Cost Inputs'!$I17,0)-IF(AND(S$5&lt;'Platform Cost Inputs'!$H17,T$5&gt;'Platform Cost Inputs'!$H17),('Platform Cost Inputs'!$F17+'Platform Cost Inputs'!$G17-S$5)*'Platform Cost Inputs'!$I17/'Platform Cost Inputs'!$G17,0))/Million</f>
        <v>0</v>
      </c>
      <c r="T19" s="7">
        <f>(IF(AND(T$5&gt;='Platform Cost Inputs'!$F17,T$5&lt;'Platform Cost Inputs'!$H17),(1/'Platform Cost Inputs'!$G17)*'Platform Cost Inputs'!$I17,0)-IF(AND(T$5&lt;'Platform Cost Inputs'!$H17,U$5&gt;'Platform Cost Inputs'!$H17),('Platform Cost Inputs'!$F17+'Platform Cost Inputs'!$G17-T$5)*'Platform Cost Inputs'!$I17/'Platform Cost Inputs'!$G17,0))/Million</f>
        <v>0</v>
      </c>
      <c r="U19" s="7">
        <f>(IF(AND(U$5&gt;='Platform Cost Inputs'!$F17,U$5&lt;'Platform Cost Inputs'!$H17),(1/'Platform Cost Inputs'!$G17)*'Platform Cost Inputs'!$I17,0)-IF(AND(U$5&lt;'Platform Cost Inputs'!$H17,V$5&gt;'Platform Cost Inputs'!$H17),('Platform Cost Inputs'!$F17+'Platform Cost Inputs'!$G17-U$5)*'Platform Cost Inputs'!$I17/'Platform Cost Inputs'!$G17,0))/Million</f>
        <v>0</v>
      </c>
      <c r="V19" s="7">
        <f>(IF(AND(V$5&gt;='Platform Cost Inputs'!$F17,V$5&lt;'Platform Cost Inputs'!$H17),(1/'Platform Cost Inputs'!$G17)*'Platform Cost Inputs'!$I17,0)-IF(AND(V$5&lt;'Platform Cost Inputs'!$H17,W$5&gt;'Platform Cost Inputs'!$H17),('Platform Cost Inputs'!$F17+'Platform Cost Inputs'!$G17-V$5)*'Platform Cost Inputs'!$I17/'Platform Cost Inputs'!$G17,0))/Million</f>
        <v>0</v>
      </c>
      <c r="W19" s="7">
        <f>(IF(AND(W$5&gt;='Platform Cost Inputs'!$F17,W$5&lt;'Platform Cost Inputs'!$H17),(1/'Platform Cost Inputs'!$G17)*'Platform Cost Inputs'!$I17,0)-IF(AND(W$5&lt;'Platform Cost Inputs'!$H17,X$5&gt;'Platform Cost Inputs'!$H17),('Platform Cost Inputs'!$F17+'Platform Cost Inputs'!$G17-W$5)*'Platform Cost Inputs'!$I17/'Platform Cost Inputs'!$G17,0))/Million</f>
        <v>0</v>
      </c>
      <c r="X19" s="7">
        <f>(IF(AND(X$5&gt;='Platform Cost Inputs'!$F17,X$5&lt;'Platform Cost Inputs'!$H17),(1/'Platform Cost Inputs'!$G17)*'Platform Cost Inputs'!$I17,0)-IF(AND(X$5&lt;'Platform Cost Inputs'!$H17,Y$5&gt;'Platform Cost Inputs'!$H17),('Platform Cost Inputs'!$F17+'Platform Cost Inputs'!$G17-X$5)*'Platform Cost Inputs'!$I17/'Platform Cost Inputs'!$G17,0))/Million</f>
        <v>0</v>
      </c>
      <c r="Y19" s="7">
        <f>(IF(AND(Y$5&gt;='Platform Cost Inputs'!$F17,Y$5&lt;'Platform Cost Inputs'!$H17),(1/'Platform Cost Inputs'!$G17)*'Platform Cost Inputs'!$I17,0)-IF(AND(Y$5&lt;'Platform Cost Inputs'!$H17,Z$5&gt;'Platform Cost Inputs'!$H17),('Platform Cost Inputs'!$F17+'Platform Cost Inputs'!$G17-Y$5)*'Platform Cost Inputs'!$I17/'Platform Cost Inputs'!$G17,0))/Million</f>
        <v>0</v>
      </c>
      <c r="Z19" s="7">
        <f>(IF(AND(Z$5&gt;='Platform Cost Inputs'!$F17,Z$5&lt;'Platform Cost Inputs'!$H17),(1/'Platform Cost Inputs'!$G17)*'Platform Cost Inputs'!$I17,0)-IF(AND(Z$5&lt;'Platform Cost Inputs'!$H17,AA$5&gt;'Platform Cost Inputs'!$H17),('Platform Cost Inputs'!$F17+'Platform Cost Inputs'!$G17-Z$5)*'Platform Cost Inputs'!$I17/'Platform Cost Inputs'!$G17,0))/Million</f>
        <v>0</v>
      </c>
    </row>
    <row r="20" spans="1:26" ht="15.75" x14ac:dyDescent="0.25">
      <c r="A20" s="56" t="str">
        <f t="shared" si="19"/>
        <v xml:space="preserve">Dynamic Forecasting Capacity </v>
      </c>
      <c r="B20" t="s">
        <v>7</v>
      </c>
      <c r="C20" s="3" t="s">
        <v>9</v>
      </c>
      <c r="D20" s="24">
        <f t="shared" si="21"/>
        <v>1.0000818131895124</v>
      </c>
      <c r="E20" s="59">
        <f t="shared" si="18"/>
        <v>1.070262</v>
      </c>
      <c r="F20" s="59"/>
      <c r="G20" s="7">
        <f>(IF(AND(G$5&gt;='Platform Cost Inputs'!$F18,G$5&lt;'Platform Cost Inputs'!$H18),(1/'Platform Cost Inputs'!$G18)*'Platform Cost Inputs'!$I18,0)-IF(AND(G$5&lt;'Platform Cost Inputs'!$H18,H$5&gt;'Platform Cost Inputs'!$H18),('Platform Cost Inputs'!$F18+'Platform Cost Inputs'!$G18-G$5)*'Platform Cost Inputs'!$I18/'Platform Cost Inputs'!$G18,0))/Million</f>
        <v>0</v>
      </c>
      <c r="H20" s="7">
        <f>(IF(AND(H$5&gt;='Platform Cost Inputs'!$F18,H$5&lt;'Platform Cost Inputs'!$H18),(1/'Platform Cost Inputs'!$G18)*'Platform Cost Inputs'!$I18,0)-IF(AND(H$5&lt;'Platform Cost Inputs'!$H18,I$5&gt;'Platform Cost Inputs'!$H18),('Platform Cost Inputs'!$F18+'Platform Cost Inputs'!$G18-H$5)*'Platform Cost Inputs'!$I18/'Platform Cost Inputs'!$G18,0))/Million</f>
        <v>0</v>
      </c>
      <c r="I20" s="7">
        <f>(IF(AND(I$5&gt;='Platform Cost Inputs'!$F18,I$5&lt;'Platform Cost Inputs'!$H18),(1/'Platform Cost Inputs'!$G18)*'Platform Cost Inputs'!$I18,0)-IF(AND(I$5&lt;'Platform Cost Inputs'!$H18,J$5&gt;'Platform Cost Inputs'!$H18),('Platform Cost Inputs'!$F18+'Platform Cost Inputs'!$G18-I$5)*'Platform Cost Inputs'!$I18/'Platform Cost Inputs'!$G18,0))/Million</f>
        <v>1.070262</v>
      </c>
      <c r="J20" s="7">
        <f>(IF(AND(J$5&gt;='Platform Cost Inputs'!$F18,J$5&lt;'Platform Cost Inputs'!$H18),(1/'Platform Cost Inputs'!$G18)*'Platform Cost Inputs'!$I18,0)-IF(AND(J$5&lt;'Platform Cost Inputs'!$H18,K$5&gt;'Platform Cost Inputs'!$H18),('Platform Cost Inputs'!$F18+'Platform Cost Inputs'!$G18-J$5)*'Platform Cost Inputs'!$I18/'Platform Cost Inputs'!$G18,0))/Million</f>
        <v>0</v>
      </c>
      <c r="K20" s="7">
        <f>(IF(AND(K$5&gt;='Platform Cost Inputs'!$F18,K$5&lt;'Platform Cost Inputs'!$H18),(1/'Platform Cost Inputs'!$G18)*'Platform Cost Inputs'!$I18,0)-IF(AND(K$5&lt;'Platform Cost Inputs'!$H18,L$5&gt;'Platform Cost Inputs'!$H18),('Platform Cost Inputs'!$F18+'Platform Cost Inputs'!$G18-K$5)*'Platform Cost Inputs'!$I18/'Platform Cost Inputs'!$G18,0))/Million</f>
        <v>0</v>
      </c>
      <c r="L20" s="7">
        <f>(IF(AND(L$5&gt;='Platform Cost Inputs'!$F18,L$5&lt;'Platform Cost Inputs'!$H18),(1/'Platform Cost Inputs'!$G18)*'Platform Cost Inputs'!$I18,0)-IF(AND(L$5&lt;'Platform Cost Inputs'!$H18,M$5&gt;'Platform Cost Inputs'!$H18),('Platform Cost Inputs'!$F18+'Platform Cost Inputs'!$G18-L$5)*'Platform Cost Inputs'!$I18/'Platform Cost Inputs'!$G18,0))/Million</f>
        <v>0</v>
      </c>
      <c r="M20" s="7">
        <f>(IF(AND(M$5&gt;='Platform Cost Inputs'!$F18,M$5&lt;'Platform Cost Inputs'!$H18),(1/'Platform Cost Inputs'!$G18)*'Platform Cost Inputs'!$I18,0)-IF(AND(M$5&lt;'Platform Cost Inputs'!$H18,N$5&gt;'Platform Cost Inputs'!$H18),('Platform Cost Inputs'!$F18+'Platform Cost Inputs'!$G18-M$5)*'Platform Cost Inputs'!$I18/'Platform Cost Inputs'!$G18,0))/Million</f>
        <v>0</v>
      </c>
      <c r="N20" s="7">
        <f>(IF(AND(N$5&gt;='Platform Cost Inputs'!$F18,N$5&lt;'Platform Cost Inputs'!$H18),(1/'Platform Cost Inputs'!$G18)*'Platform Cost Inputs'!$I18,0)-IF(AND(N$5&lt;'Platform Cost Inputs'!$H18,O$5&gt;'Platform Cost Inputs'!$H18),('Platform Cost Inputs'!$F18+'Platform Cost Inputs'!$G18-N$5)*'Platform Cost Inputs'!$I18/'Platform Cost Inputs'!$G18,0))/Million</f>
        <v>0</v>
      </c>
      <c r="O20" s="7">
        <f>(IF(AND(O$5&gt;='Platform Cost Inputs'!$F18,O$5&lt;'Platform Cost Inputs'!$H18),(1/'Platform Cost Inputs'!$G18)*'Platform Cost Inputs'!$I18,0)-IF(AND(O$5&lt;'Platform Cost Inputs'!$H18,P$5&gt;'Platform Cost Inputs'!$H18),('Platform Cost Inputs'!$F18+'Platform Cost Inputs'!$G18-O$5)*'Platform Cost Inputs'!$I18/'Platform Cost Inputs'!$G18,0))/Million</f>
        <v>0</v>
      </c>
      <c r="P20" s="7">
        <f>(IF(AND(P$5&gt;='Platform Cost Inputs'!$F18,P$5&lt;'Platform Cost Inputs'!$H18),(1/'Platform Cost Inputs'!$G18)*'Platform Cost Inputs'!$I18,0)-IF(AND(P$5&lt;'Platform Cost Inputs'!$H18,Q$5&gt;'Platform Cost Inputs'!$H18),('Platform Cost Inputs'!$F18+'Platform Cost Inputs'!$G18-P$5)*'Platform Cost Inputs'!$I18/'Platform Cost Inputs'!$G18,0))/Million</f>
        <v>0</v>
      </c>
      <c r="Q20" s="7">
        <f>(IF(AND(Q$5&gt;='Platform Cost Inputs'!$F18,Q$5&lt;'Platform Cost Inputs'!$H18),(1/'Platform Cost Inputs'!$G18)*'Platform Cost Inputs'!$I18,0)-IF(AND(Q$5&lt;'Platform Cost Inputs'!$H18,R$5&gt;'Platform Cost Inputs'!$H18),('Platform Cost Inputs'!$F18+'Platform Cost Inputs'!$G18-Q$5)*'Platform Cost Inputs'!$I18/'Platform Cost Inputs'!$G18,0))/Million</f>
        <v>0</v>
      </c>
      <c r="R20" s="7">
        <f>(IF(AND(R$5&gt;='Platform Cost Inputs'!$F18,R$5&lt;'Platform Cost Inputs'!$H18),(1/'Platform Cost Inputs'!$G18)*'Platform Cost Inputs'!$I18,0)-IF(AND(R$5&lt;'Platform Cost Inputs'!$H18,S$5&gt;'Platform Cost Inputs'!$H18),('Platform Cost Inputs'!$F18+'Platform Cost Inputs'!$G18-R$5)*'Platform Cost Inputs'!$I18/'Platform Cost Inputs'!$G18,0))/Million</f>
        <v>0</v>
      </c>
      <c r="S20" s="7">
        <f>(IF(AND(S$5&gt;='Platform Cost Inputs'!$F18,S$5&lt;'Platform Cost Inputs'!$H18),(1/'Platform Cost Inputs'!$G18)*'Platform Cost Inputs'!$I18,0)-IF(AND(S$5&lt;'Platform Cost Inputs'!$H18,T$5&gt;'Platform Cost Inputs'!$H18),('Platform Cost Inputs'!$F18+'Platform Cost Inputs'!$G18-S$5)*'Platform Cost Inputs'!$I18/'Platform Cost Inputs'!$G18,0))/Million</f>
        <v>0</v>
      </c>
      <c r="T20" s="7">
        <f>(IF(AND(T$5&gt;='Platform Cost Inputs'!$F18,T$5&lt;'Platform Cost Inputs'!$H18),(1/'Platform Cost Inputs'!$G18)*'Platform Cost Inputs'!$I18,0)-IF(AND(T$5&lt;'Platform Cost Inputs'!$H18,U$5&gt;'Platform Cost Inputs'!$H18),('Platform Cost Inputs'!$F18+'Platform Cost Inputs'!$G18-T$5)*'Platform Cost Inputs'!$I18/'Platform Cost Inputs'!$G18,0))/Million</f>
        <v>0</v>
      </c>
      <c r="U20" s="7">
        <f>(IF(AND(U$5&gt;='Platform Cost Inputs'!$F18,U$5&lt;'Platform Cost Inputs'!$H18),(1/'Platform Cost Inputs'!$G18)*'Platform Cost Inputs'!$I18,0)-IF(AND(U$5&lt;'Platform Cost Inputs'!$H18,V$5&gt;'Platform Cost Inputs'!$H18),('Platform Cost Inputs'!$F18+'Platform Cost Inputs'!$G18-U$5)*'Platform Cost Inputs'!$I18/'Platform Cost Inputs'!$G18,0))/Million</f>
        <v>0</v>
      </c>
      <c r="V20" s="7">
        <f>(IF(AND(V$5&gt;='Platform Cost Inputs'!$F18,V$5&lt;'Platform Cost Inputs'!$H18),(1/'Platform Cost Inputs'!$G18)*'Platform Cost Inputs'!$I18,0)-IF(AND(V$5&lt;'Platform Cost Inputs'!$H18,W$5&gt;'Platform Cost Inputs'!$H18),('Platform Cost Inputs'!$F18+'Platform Cost Inputs'!$G18-V$5)*'Platform Cost Inputs'!$I18/'Platform Cost Inputs'!$G18,0))/Million</f>
        <v>0</v>
      </c>
      <c r="W20" s="7">
        <f>(IF(AND(W$5&gt;='Platform Cost Inputs'!$F18,W$5&lt;'Platform Cost Inputs'!$H18),(1/'Platform Cost Inputs'!$G18)*'Platform Cost Inputs'!$I18,0)-IF(AND(W$5&lt;'Platform Cost Inputs'!$H18,X$5&gt;'Platform Cost Inputs'!$H18),('Platform Cost Inputs'!$F18+'Platform Cost Inputs'!$G18-W$5)*'Platform Cost Inputs'!$I18/'Platform Cost Inputs'!$G18,0))/Million</f>
        <v>0</v>
      </c>
      <c r="X20" s="7">
        <f>(IF(AND(X$5&gt;='Platform Cost Inputs'!$F18,X$5&lt;'Platform Cost Inputs'!$H18),(1/'Platform Cost Inputs'!$G18)*'Platform Cost Inputs'!$I18,0)-IF(AND(X$5&lt;'Platform Cost Inputs'!$H18,Y$5&gt;'Platform Cost Inputs'!$H18),('Platform Cost Inputs'!$F18+'Platform Cost Inputs'!$G18-X$5)*'Platform Cost Inputs'!$I18/'Platform Cost Inputs'!$G18,0))/Million</f>
        <v>0</v>
      </c>
      <c r="Y20" s="7">
        <f>(IF(AND(Y$5&gt;='Platform Cost Inputs'!$F18,Y$5&lt;'Platform Cost Inputs'!$H18),(1/'Platform Cost Inputs'!$G18)*'Platform Cost Inputs'!$I18,0)-IF(AND(Y$5&lt;'Platform Cost Inputs'!$H18,Z$5&gt;'Platform Cost Inputs'!$H18),('Platform Cost Inputs'!$F18+'Platform Cost Inputs'!$G18-Y$5)*'Platform Cost Inputs'!$I18/'Platform Cost Inputs'!$G18,0))/Million</f>
        <v>0</v>
      </c>
      <c r="Z20" s="7">
        <f>(IF(AND(Z$5&gt;='Platform Cost Inputs'!$F18,Z$5&lt;'Platform Cost Inputs'!$H18),(1/'Platform Cost Inputs'!$G18)*'Platform Cost Inputs'!$I18,0)-IF(AND(Z$5&lt;'Platform Cost Inputs'!$H18,AA$5&gt;'Platform Cost Inputs'!$H18),('Platform Cost Inputs'!$F18+'Platform Cost Inputs'!$G18-Z$5)*'Platform Cost Inputs'!$I18/'Platform Cost Inputs'!$G18,0))/Million</f>
        <v>0</v>
      </c>
    </row>
    <row r="21" spans="1:26" ht="15.75" x14ac:dyDescent="0.25">
      <c r="A21" s="56" t="str">
        <f t="shared" si="19"/>
        <v xml:space="preserve">DER - Monitoring Capability </v>
      </c>
      <c r="B21" t="s">
        <v>7</v>
      </c>
      <c r="C21" s="3" t="s">
        <v>9</v>
      </c>
      <c r="D21" s="24">
        <f t="shared" si="21"/>
        <v>0.99036564023976315</v>
      </c>
      <c r="E21" s="59">
        <f t="shared" si="18"/>
        <v>1.0598639999999999</v>
      </c>
      <c r="F21" s="59"/>
      <c r="G21" s="7">
        <f>(IF(AND(G$5&gt;='Platform Cost Inputs'!$F20,G$5&lt;'Platform Cost Inputs'!$H20),(1/'Platform Cost Inputs'!$G20)*'Platform Cost Inputs'!$I20,0)-IF(AND(G$5&lt;'Platform Cost Inputs'!$H20,H$5&gt;'Platform Cost Inputs'!$H20),('Platform Cost Inputs'!$F20+'Platform Cost Inputs'!$G20-G$5)*'Platform Cost Inputs'!$I20/'Platform Cost Inputs'!$G20,0))/Million</f>
        <v>0</v>
      </c>
      <c r="H21" s="7">
        <f>(IF(AND(H$5&gt;='Platform Cost Inputs'!$F20,H$5&lt;'Platform Cost Inputs'!$H20),(1/'Platform Cost Inputs'!$G20)*'Platform Cost Inputs'!$I20,0)-IF(AND(H$5&lt;'Platform Cost Inputs'!$H20,I$5&gt;'Platform Cost Inputs'!$H20),('Platform Cost Inputs'!$F20+'Platform Cost Inputs'!$G20-H$5)*'Platform Cost Inputs'!$I20/'Platform Cost Inputs'!$G20,0))/Million</f>
        <v>0</v>
      </c>
      <c r="I21" s="7">
        <f>(IF(AND(I$5&gt;='Platform Cost Inputs'!$F20,I$5&lt;'Platform Cost Inputs'!$H20),(1/'Platform Cost Inputs'!$G20)*'Platform Cost Inputs'!$I20,0)-IF(AND(I$5&lt;'Platform Cost Inputs'!$H20,J$5&gt;'Platform Cost Inputs'!$H20),('Platform Cost Inputs'!$F20+'Platform Cost Inputs'!$G20-I$5)*'Platform Cost Inputs'!$I20/'Platform Cost Inputs'!$G20,0))/Million</f>
        <v>1.0598639999999999</v>
      </c>
      <c r="J21" s="7">
        <f>(IF(AND(J$5&gt;='Platform Cost Inputs'!$F20,J$5&lt;'Platform Cost Inputs'!$H20),(1/'Platform Cost Inputs'!$G20)*'Platform Cost Inputs'!$I20,0)-IF(AND(J$5&lt;'Platform Cost Inputs'!$H20,K$5&gt;'Platform Cost Inputs'!$H20),('Platform Cost Inputs'!$F20+'Platform Cost Inputs'!$G20-J$5)*'Platform Cost Inputs'!$I20/'Platform Cost Inputs'!$G20,0))/Million</f>
        <v>0</v>
      </c>
      <c r="K21" s="7">
        <f>(IF(AND(K$5&gt;='Platform Cost Inputs'!$F20,K$5&lt;'Platform Cost Inputs'!$H20),(1/'Platform Cost Inputs'!$G20)*'Platform Cost Inputs'!$I20,0)-IF(AND(K$5&lt;'Platform Cost Inputs'!$H20,L$5&gt;'Platform Cost Inputs'!$H20),('Platform Cost Inputs'!$F20+'Platform Cost Inputs'!$G20-K$5)*'Platform Cost Inputs'!$I20/'Platform Cost Inputs'!$G20,0))/Million</f>
        <v>0</v>
      </c>
      <c r="L21" s="7">
        <f>(IF(AND(L$5&gt;='Platform Cost Inputs'!$F20,L$5&lt;'Platform Cost Inputs'!$H20),(1/'Platform Cost Inputs'!$G20)*'Platform Cost Inputs'!$I20,0)-IF(AND(L$5&lt;'Platform Cost Inputs'!$H20,M$5&gt;'Platform Cost Inputs'!$H20),('Platform Cost Inputs'!$F20+'Platform Cost Inputs'!$G20-L$5)*'Platform Cost Inputs'!$I20/'Platform Cost Inputs'!$G20,0))/Million</f>
        <v>0</v>
      </c>
      <c r="M21" s="7">
        <f>(IF(AND(M$5&gt;='Platform Cost Inputs'!$F20,M$5&lt;'Platform Cost Inputs'!$H20),(1/'Platform Cost Inputs'!$G20)*'Platform Cost Inputs'!$I20,0)-IF(AND(M$5&lt;'Platform Cost Inputs'!$H20,N$5&gt;'Platform Cost Inputs'!$H20),('Platform Cost Inputs'!$F20+'Platform Cost Inputs'!$G20-M$5)*'Platform Cost Inputs'!$I20/'Platform Cost Inputs'!$G20,0))/Million</f>
        <v>0</v>
      </c>
      <c r="N21" s="7">
        <f>(IF(AND(N$5&gt;='Platform Cost Inputs'!$F20,N$5&lt;'Platform Cost Inputs'!$H20),(1/'Platform Cost Inputs'!$G20)*'Platform Cost Inputs'!$I20,0)-IF(AND(N$5&lt;'Platform Cost Inputs'!$H20,O$5&gt;'Platform Cost Inputs'!$H20),('Platform Cost Inputs'!$F20+'Platform Cost Inputs'!$G20-N$5)*'Platform Cost Inputs'!$I20/'Platform Cost Inputs'!$G20,0))/Million</f>
        <v>0</v>
      </c>
      <c r="O21" s="7">
        <f>(IF(AND(O$5&gt;='Platform Cost Inputs'!$F20,O$5&lt;'Platform Cost Inputs'!$H20),(1/'Platform Cost Inputs'!$G20)*'Platform Cost Inputs'!$I20,0)-IF(AND(O$5&lt;'Platform Cost Inputs'!$H20,P$5&gt;'Platform Cost Inputs'!$H20),('Platform Cost Inputs'!$F20+'Platform Cost Inputs'!$G20-O$5)*'Platform Cost Inputs'!$I20/'Platform Cost Inputs'!$G20,0))/Million</f>
        <v>0</v>
      </c>
      <c r="P21" s="7">
        <f>(IF(AND(P$5&gt;='Platform Cost Inputs'!$F20,P$5&lt;'Platform Cost Inputs'!$H20),(1/'Platform Cost Inputs'!$G20)*'Platform Cost Inputs'!$I20,0)-IF(AND(P$5&lt;'Platform Cost Inputs'!$H20,Q$5&gt;'Platform Cost Inputs'!$H20),('Platform Cost Inputs'!$F20+'Platform Cost Inputs'!$G20-P$5)*'Platform Cost Inputs'!$I20/'Platform Cost Inputs'!$G20,0))/Million</f>
        <v>0</v>
      </c>
      <c r="Q21" s="7">
        <f>(IF(AND(Q$5&gt;='Platform Cost Inputs'!$F20,Q$5&lt;'Platform Cost Inputs'!$H20),(1/'Platform Cost Inputs'!$G20)*'Platform Cost Inputs'!$I20,0)-IF(AND(Q$5&lt;'Platform Cost Inputs'!$H20,R$5&gt;'Platform Cost Inputs'!$H20),('Platform Cost Inputs'!$F20+'Platform Cost Inputs'!$G20-Q$5)*'Platform Cost Inputs'!$I20/'Platform Cost Inputs'!$G20,0))/Million</f>
        <v>0</v>
      </c>
      <c r="R21" s="7">
        <f>(IF(AND(R$5&gt;='Platform Cost Inputs'!$F20,R$5&lt;'Platform Cost Inputs'!$H20),(1/'Platform Cost Inputs'!$G20)*'Platform Cost Inputs'!$I20,0)-IF(AND(R$5&lt;'Platform Cost Inputs'!$H20,S$5&gt;'Platform Cost Inputs'!$H20),('Platform Cost Inputs'!$F20+'Platform Cost Inputs'!$G20-R$5)*'Platform Cost Inputs'!$I20/'Platform Cost Inputs'!$G20,0))/Million</f>
        <v>0</v>
      </c>
      <c r="S21" s="7">
        <f>(IF(AND(S$5&gt;='Platform Cost Inputs'!$F20,S$5&lt;'Platform Cost Inputs'!$H20),(1/'Platform Cost Inputs'!$G20)*'Platform Cost Inputs'!$I20,0)-IF(AND(S$5&lt;'Platform Cost Inputs'!$H20,T$5&gt;'Platform Cost Inputs'!$H20),('Platform Cost Inputs'!$F20+'Platform Cost Inputs'!$G20-S$5)*'Platform Cost Inputs'!$I20/'Platform Cost Inputs'!$G20,0))/Million</f>
        <v>0</v>
      </c>
      <c r="T21" s="7">
        <f>(IF(AND(T$5&gt;='Platform Cost Inputs'!$F20,T$5&lt;'Platform Cost Inputs'!$H20),(1/'Platform Cost Inputs'!$G20)*'Platform Cost Inputs'!$I20,0)-IF(AND(T$5&lt;'Platform Cost Inputs'!$H20,U$5&gt;'Platform Cost Inputs'!$H20),('Platform Cost Inputs'!$F20+'Platform Cost Inputs'!$G20-T$5)*'Platform Cost Inputs'!$I20/'Platform Cost Inputs'!$G20,0))/Million</f>
        <v>0</v>
      </c>
      <c r="U21" s="7">
        <f>(IF(AND(U$5&gt;='Platform Cost Inputs'!$F20,U$5&lt;'Platform Cost Inputs'!$H20),(1/'Platform Cost Inputs'!$G20)*'Platform Cost Inputs'!$I20,0)-IF(AND(U$5&lt;'Platform Cost Inputs'!$H20,V$5&gt;'Platform Cost Inputs'!$H20),('Platform Cost Inputs'!$F20+'Platform Cost Inputs'!$G20-U$5)*'Platform Cost Inputs'!$I20/'Platform Cost Inputs'!$G20,0))/Million</f>
        <v>0</v>
      </c>
      <c r="V21" s="7">
        <f>(IF(AND(V$5&gt;='Platform Cost Inputs'!$F20,V$5&lt;'Platform Cost Inputs'!$H20),(1/'Platform Cost Inputs'!$G20)*'Platform Cost Inputs'!$I20,0)-IF(AND(V$5&lt;'Platform Cost Inputs'!$H20,W$5&gt;'Platform Cost Inputs'!$H20),('Platform Cost Inputs'!$F20+'Platform Cost Inputs'!$G20-V$5)*'Platform Cost Inputs'!$I20/'Platform Cost Inputs'!$G20,0))/Million</f>
        <v>0</v>
      </c>
      <c r="W21" s="7">
        <f>(IF(AND(W$5&gt;='Platform Cost Inputs'!$F20,W$5&lt;'Platform Cost Inputs'!$H20),(1/'Platform Cost Inputs'!$G20)*'Platform Cost Inputs'!$I20,0)-IF(AND(W$5&lt;'Platform Cost Inputs'!$H20,X$5&gt;'Platform Cost Inputs'!$H20),('Platform Cost Inputs'!$F20+'Platform Cost Inputs'!$G20-W$5)*'Platform Cost Inputs'!$I20/'Platform Cost Inputs'!$G20,0))/Million</f>
        <v>0</v>
      </c>
      <c r="X21" s="7">
        <f>(IF(AND(X$5&gt;='Platform Cost Inputs'!$F20,X$5&lt;'Platform Cost Inputs'!$H20),(1/'Platform Cost Inputs'!$G20)*'Platform Cost Inputs'!$I20,0)-IF(AND(X$5&lt;'Platform Cost Inputs'!$H20,Y$5&gt;'Platform Cost Inputs'!$H20),('Platform Cost Inputs'!$F20+'Platform Cost Inputs'!$G20-X$5)*'Platform Cost Inputs'!$I20/'Platform Cost Inputs'!$G20,0))/Million</f>
        <v>0</v>
      </c>
      <c r="Y21" s="7">
        <f>(IF(AND(Y$5&gt;='Platform Cost Inputs'!$F20,Y$5&lt;'Platform Cost Inputs'!$H20),(1/'Platform Cost Inputs'!$G20)*'Platform Cost Inputs'!$I20,0)-IF(AND(Y$5&lt;'Platform Cost Inputs'!$H20,Z$5&gt;'Platform Cost Inputs'!$H20),('Platform Cost Inputs'!$F20+'Platform Cost Inputs'!$G20-Y$5)*'Platform Cost Inputs'!$I20/'Platform Cost Inputs'!$G20,0))/Million</f>
        <v>0</v>
      </c>
      <c r="Z21" s="7">
        <f>(IF(AND(Z$5&gt;='Platform Cost Inputs'!$F20,Z$5&lt;'Platform Cost Inputs'!$H20),(1/'Platform Cost Inputs'!$G20)*'Platform Cost Inputs'!$I20,0)-IF(AND(Z$5&lt;'Platform Cost Inputs'!$H20,AA$5&gt;'Platform Cost Inputs'!$H20),('Platform Cost Inputs'!$F20+'Platform Cost Inputs'!$G20-Z$5)*'Platform Cost Inputs'!$I20/'Platform Cost Inputs'!$G20,0))/Million</f>
        <v>0</v>
      </c>
    </row>
    <row r="22" spans="1:26" ht="15.75" x14ac:dyDescent="0.25">
      <c r="A22" s="56" t="str">
        <f t="shared" si="19"/>
        <v>DER- Dispatching Automation</v>
      </c>
      <c r="B22" t="s">
        <v>7</v>
      </c>
      <c r="C22" s="3" t="s">
        <v>9</v>
      </c>
      <c r="D22" s="24">
        <f t="shared" si="21"/>
        <v>0.94691002160461368</v>
      </c>
      <c r="E22" s="59">
        <f t="shared" si="18"/>
        <v>1.06986</v>
      </c>
      <c r="F22" s="59"/>
      <c r="G22" s="7">
        <f>(IF(AND(G$5&gt;='Platform Cost Inputs'!$F21,G$5&lt;'Platform Cost Inputs'!$H21),(1/'Platform Cost Inputs'!$G21)*'Platform Cost Inputs'!$I21,0)-IF(AND(G$5&lt;'Platform Cost Inputs'!$H21,H$5&gt;'Platform Cost Inputs'!$H21),('Platform Cost Inputs'!$F21+'Platform Cost Inputs'!$G21-G$5)*'Platform Cost Inputs'!$I21/'Platform Cost Inputs'!$G21,0))/Million</f>
        <v>0</v>
      </c>
      <c r="H22" s="7">
        <f>(IF(AND(H$5&gt;='Platform Cost Inputs'!$F21,H$5&lt;'Platform Cost Inputs'!$H21),(1/'Platform Cost Inputs'!$G21)*'Platform Cost Inputs'!$I21,0)-IF(AND(H$5&lt;'Platform Cost Inputs'!$H21,I$5&gt;'Platform Cost Inputs'!$H21),('Platform Cost Inputs'!$F21+'Platform Cost Inputs'!$G21-H$5)*'Platform Cost Inputs'!$I21/'Platform Cost Inputs'!$G21,0))/Million</f>
        <v>0</v>
      </c>
      <c r="I22" s="7">
        <f>(IF(AND(I$5&gt;='Platform Cost Inputs'!$F21,I$5&lt;'Platform Cost Inputs'!$H21),(1/'Platform Cost Inputs'!$G21)*'Platform Cost Inputs'!$I21,0)-IF(AND(I$5&lt;'Platform Cost Inputs'!$H21,J$5&gt;'Platform Cost Inputs'!$H21),('Platform Cost Inputs'!$F21+'Platform Cost Inputs'!$G21-I$5)*'Platform Cost Inputs'!$I21/'Platform Cost Inputs'!$G21,0))/Million</f>
        <v>0</v>
      </c>
      <c r="J22" s="7">
        <f>(IF(AND(J$5&gt;='Platform Cost Inputs'!$F21,J$5&lt;'Platform Cost Inputs'!$H21),(1/'Platform Cost Inputs'!$G21)*'Platform Cost Inputs'!$I21,0)-IF(AND(J$5&lt;'Platform Cost Inputs'!$H21,K$5&gt;'Platform Cost Inputs'!$H21),('Platform Cost Inputs'!$F21+'Platform Cost Inputs'!$G21-J$5)*'Platform Cost Inputs'!$I21/'Platform Cost Inputs'!$G21,0))/Million</f>
        <v>0</v>
      </c>
      <c r="K22" s="7">
        <f>(IF(AND(K$5&gt;='Platform Cost Inputs'!$F21,K$5&lt;'Platform Cost Inputs'!$H21),(1/'Platform Cost Inputs'!$G21)*'Platform Cost Inputs'!$I21,0)-IF(AND(K$5&lt;'Platform Cost Inputs'!$H21,L$5&gt;'Platform Cost Inputs'!$H21),('Platform Cost Inputs'!$F21+'Platform Cost Inputs'!$G21-K$5)*'Platform Cost Inputs'!$I21/'Platform Cost Inputs'!$G21,0))/Million</f>
        <v>1.06986</v>
      </c>
      <c r="L22" s="7">
        <f>(IF(AND(L$5&gt;='Platform Cost Inputs'!$F21,L$5&lt;'Platform Cost Inputs'!$H21),(1/'Platform Cost Inputs'!$G21)*'Platform Cost Inputs'!$I21,0)-IF(AND(L$5&lt;'Platform Cost Inputs'!$H21,M$5&gt;'Platform Cost Inputs'!$H21),('Platform Cost Inputs'!$F21+'Platform Cost Inputs'!$G21-L$5)*'Platform Cost Inputs'!$I21/'Platform Cost Inputs'!$G21,0))/Million</f>
        <v>0</v>
      </c>
      <c r="M22" s="7">
        <f>(IF(AND(M$5&gt;='Platform Cost Inputs'!$F21,M$5&lt;'Platform Cost Inputs'!$H21),(1/'Platform Cost Inputs'!$G21)*'Platform Cost Inputs'!$I21,0)-IF(AND(M$5&lt;'Platform Cost Inputs'!$H21,N$5&gt;'Platform Cost Inputs'!$H21),('Platform Cost Inputs'!$F21+'Platform Cost Inputs'!$G21-M$5)*'Platform Cost Inputs'!$I21/'Platform Cost Inputs'!$G21,0))/Million</f>
        <v>0</v>
      </c>
      <c r="N22" s="7">
        <f>(IF(AND(N$5&gt;='Platform Cost Inputs'!$F21,N$5&lt;'Platform Cost Inputs'!$H21),(1/'Platform Cost Inputs'!$G21)*'Platform Cost Inputs'!$I21,0)-IF(AND(N$5&lt;'Platform Cost Inputs'!$H21,O$5&gt;'Platform Cost Inputs'!$H21),('Platform Cost Inputs'!$F21+'Platform Cost Inputs'!$G21-N$5)*'Platform Cost Inputs'!$I21/'Platform Cost Inputs'!$G21,0))/Million</f>
        <v>0</v>
      </c>
      <c r="O22" s="7">
        <f>(IF(AND(O$5&gt;='Platform Cost Inputs'!$F21,O$5&lt;'Platform Cost Inputs'!$H21),(1/'Platform Cost Inputs'!$G21)*'Platform Cost Inputs'!$I21,0)-IF(AND(O$5&lt;'Platform Cost Inputs'!$H21,P$5&gt;'Platform Cost Inputs'!$H21),('Platform Cost Inputs'!$F21+'Platform Cost Inputs'!$G21-O$5)*'Platform Cost Inputs'!$I21/'Platform Cost Inputs'!$G21,0))/Million</f>
        <v>0</v>
      </c>
      <c r="P22" s="7">
        <f>(IF(AND(P$5&gt;='Platform Cost Inputs'!$F21,P$5&lt;'Platform Cost Inputs'!$H21),(1/'Platform Cost Inputs'!$G21)*'Platform Cost Inputs'!$I21,0)-IF(AND(P$5&lt;'Platform Cost Inputs'!$H21,Q$5&gt;'Platform Cost Inputs'!$H21),('Platform Cost Inputs'!$F21+'Platform Cost Inputs'!$G21-P$5)*'Platform Cost Inputs'!$I21/'Platform Cost Inputs'!$G21,0))/Million</f>
        <v>0</v>
      </c>
      <c r="Q22" s="7">
        <f>(IF(AND(Q$5&gt;='Platform Cost Inputs'!$F21,Q$5&lt;'Platform Cost Inputs'!$H21),(1/'Platform Cost Inputs'!$G21)*'Platform Cost Inputs'!$I21,0)-IF(AND(Q$5&lt;'Platform Cost Inputs'!$H21,R$5&gt;'Platform Cost Inputs'!$H21),('Platform Cost Inputs'!$F21+'Platform Cost Inputs'!$G21-Q$5)*'Platform Cost Inputs'!$I21/'Platform Cost Inputs'!$G21,0))/Million</f>
        <v>0</v>
      </c>
      <c r="R22" s="7">
        <f>(IF(AND(R$5&gt;='Platform Cost Inputs'!$F21,R$5&lt;'Platform Cost Inputs'!$H21),(1/'Platform Cost Inputs'!$G21)*'Platform Cost Inputs'!$I21,0)-IF(AND(R$5&lt;'Platform Cost Inputs'!$H21,S$5&gt;'Platform Cost Inputs'!$H21),('Platform Cost Inputs'!$F21+'Platform Cost Inputs'!$G21-R$5)*'Platform Cost Inputs'!$I21/'Platform Cost Inputs'!$G21,0))/Million</f>
        <v>0</v>
      </c>
      <c r="S22" s="7">
        <f>(IF(AND(S$5&gt;='Platform Cost Inputs'!$F21,S$5&lt;'Platform Cost Inputs'!$H21),(1/'Platform Cost Inputs'!$G21)*'Platform Cost Inputs'!$I21,0)-IF(AND(S$5&lt;'Platform Cost Inputs'!$H21,T$5&gt;'Platform Cost Inputs'!$H21),('Platform Cost Inputs'!$F21+'Platform Cost Inputs'!$G21-S$5)*'Platform Cost Inputs'!$I21/'Platform Cost Inputs'!$G21,0))/Million</f>
        <v>0</v>
      </c>
      <c r="T22" s="7">
        <f>(IF(AND(T$5&gt;='Platform Cost Inputs'!$F21,T$5&lt;'Platform Cost Inputs'!$H21),(1/'Platform Cost Inputs'!$G21)*'Platform Cost Inputs'!$I21,0)-IF(AND(T$5&lt;'Platform Cost Inputs'!$H21,U$5&gt;'Platform Cost Inputs'!$H21),('Platform Cost Inputs'!$F21+'Platform Cost Inputs'!$G21-T$5)*'Platform Cost Inputs'!$I21/'Platform Cost Inputs'!$G21,0))/Million</f>
        <v>0</v>
      </c>
      <c r="U22" s="7">
        <f>(IF(AND(U$5&gt;='Platform Cost Inputs'!$F21,U$5&lt;'Platform Cost Inputs'!$H21),(1/'Platform Cost Inputs'!$G21)*'Platform Cost Inputs'!$I21,0)-IF(AND(U$5&lt;'Platform Cost Inputs'!$H21,V$5&gt;'Platform Cost Inputs'!$H21),('Platform Cost Inputs'!$F21+'Platform Cost Inputs'!$G21-U$5)*'Platform Cost Inputs'!$I21/'Platform Cost Inputs'!$G21,0))/Million</f>
        <v>0</v>
      </c>
      <c r="V22" s="7">
        <f>(IF(AND(V$5&gt;='Platform Cost Inputs'!$F21,V$5&lt;'Platform Cost Inputs'!$H21),(1/'Platform Cost Inputs'!$G21)*'Platform Cost Inputs'!$I21,0)-IF(AND(V$5&lt;'Platform Cost Inputs'!$H21,W$5&gt;'Platform Cost Inputs'!$H21),('Platform Cost Inputs'!$F21+'Platform Cost Inputs'!$G21-V$5)*'Platform Cost Inputs'!$I21/'Platform Cost Inputs'!$G21,0))/Million</f>
        <v>0</v>
      </c>
      <c r="W22" s="7">
        <f>(IF(AND(W$5&gt;='Platform Cost Inputs'!$F21,W$5&lt;'Platform Cost Inputs'!$H21),(1/'Platform Cost Inputs'!$G21)*'Platform Cost Inputs'!$I21,0)-IF(AND(W$5&lt;'Platform Cost Inputs'!$H21,X$5&gt;'Platform Cost Inputs'!$H21),('Platform Cost Inputs'!$F21+'Platform Cost Inputs'!$G21-W$5)*'Platform Cost Inputs'!$I21/'Platform Cost Inputs'!$G21,0))/Million</f>
        <v>0</v>
      </c>
      <c r="X22" s="7">
        <f>(IF(AND(X$5&gt;='Platform Cost Inputs'!$F21,X$5&lt;'Platform Cost Inputs'!$H21),(1/'Platform Cost Inputs'!$G21)*'Platform Cost Inputs'!$I21,0)-IF(AND(X$5&lt;'Platform Cost Inputs'!$H21,Y$5&gt;'Platform Cost Inputs'!$H21),('Platform Cost Inputs'!$F21+'Platform Cost Inputs'!$G21-X$5)*'Platform Cost Inputs'!$I21/'Platform Cost Inputs'!$G21,0))/Million</f>
        <v>0</v>
      </c>
      <c r="Y22" s="7">
        <f>(IF(AND(Y$5&gt;='Platform Cost Inputs'!$F21,Y$5&lt;'Platform Cost Inputs'!$H21),(1/'Platform Cost Inputs'!$G21)*'Platform Cost Inputs'!$I21,0)-IF(AND(Y$5&lt;'Platform Cost Inputs'!$H21,Z$5&gt;'Platform Cost Inputs'!$H21),('Platform Cost Inputs'!$F21+'Platform Cost Inputs'!$G21-Y$5)*'Platform Cost Inputs'!$I21/'Platform Cost Inputs'!$G21,0))/Million</f>
        <v>0</v>
      </c>
      <c r="Z22" s="7">
        <f>(IF(AND(Z$5&gt;='Platform Cost Inputs'!$F21,Z$5&lt;'Platform Cost Inputs'!$H21),(1/'Platform Cost Inputs'!$G21)*'Platform Cost Inputs'!$I21,0)-IF(AND(Z$5&lt;'Platform Cost Inputs'!$H21,AA$5&gt;'Platform Cost Inputs'!$H21),('Platform Cost Inputs'!$F21+'Platform Cost Inputs'!$G21-Z$5)*'Platform Cost Inputs'!$I21/'Platform Cost Inputs'!$G21,0))/Million</f>
        <v>0</v>
      </c>
    </row>
    <row r="23" spans="1:26" s="1" customFormat="1" ht="15.75" x14ac:dyDescent="0.25">
      <c r="A23" s="211" t="s">
        <v>337</v>
      </c>
      <c r="B23" s="211" t="s">
        <v>7</v>
      </c>
      <c r="C23" s="212" t="str">
        <f>C22</f>
        <v>NPV</v>
      </c>
      <c r="D23" s="213">
        <f t="shared" ref="D23" si="22">SUM(D12:D22)</f>
        <v>20.088319910198699</v>
      </c>
      <c r="E23" s="214">
        <f>SUM(E12:E22)</f>
        <v>21.038312999999999</v>
      </c>
      <c r="F23" s="214"/>
      <c r="G23" s="215">
        <f t="shared" ref="G23:Z23" si="23">SUM(G12:G22)</f>
        <v>6.7182313333333337</v>
      </c>
      <c r="H23" s="216">
        <f t="shared" si="23"/>
        <v>7.332082333333334</v>
      </c>
      <c r="I23" s="215">
        <f t="shared" si="23"/>
        <v>4.2248593333333329</v>
      </c>
      <c r="J23" s="215">
        <f t="shared" si="23"/>
        <v>1.1288533333333333</v>
      </c>
      <c r="K23" s="215">
        <f t="shared" si="23"/>
        <v>1.6342866666666667</v>
      </c>
      <c r="L23" s="215">
        <f t="shared" si="23"/>
        <v>0</v>
      </c>
      <c r="M23" s="215">
        <f t="shared" si="23"/>
        <v>0</v>
      </c>
      <c r="N23" s="215">
        <f t="shared" si="23"/>
        <v>0</v>
      </c>
      <c r="O23" s="215">
        <f t="shared" si="23"/>
        <v>0</v>
      </c>
      <c r="P23" s="215">
        <f t="shared" si="23"/>
        <v>0</v>
      </c>
      <c r="Q23" s="215">
        <f t="shared" si="23"/>
        <v>0</v>
      </c>
      <c r="R23" s="215">
        <f t="shared" si="23"/>
        <v>0</v>
      </c>
      <c r="S23" s="215">
        <f t="shared" si="23"/>
        <v>0</v>
      </c>
      <c r="T23" s="215">
        <f t="shared" si="23"/>
        <v>0</v>
      </c>
      <c r="U23" s="215">
        <f t="shared" si="23"/>
        <v>0</v>
      </c>
      <c r="V23" s="215">
        <f t="shared" si="23"/>
        <v>0</v>
      </c>
      <c r="W23" s="215">
        <f t="shared" si="23"/>
        <v>0</v>
      </c>
      <c r="X23" s="215">
        <f t="shared" si="23"/>
        <v>0</v>
      </c>
      <c r="Y23" s="215">
        <f t="shared" si="23"/>
        <v>0</v>
      </c>
      <c r="Z23" s="215">
        <f t="shared" si="23"/>
        <v>0</v>
      </c>
    </row>
    <row r="24" spans="1:26" x14ac:dyDescent="0.25">
      <c r="E24" s="59"/>
      <c r="F24" s="59"/>
    </row>
    <row r="25" spans="1:26" x14ac:dyDescent="0.25">
      <c r="A25" s="1" t="s">
        <v>100</v>
      </c>
      <c r="E25" s="59"/>
      <c r="F25" s="59"/>
    </row>
    <row r="26" spans="1:26" ht="15.75" x14ac:dyDescent="0.25">
      <c r="A26" t="str">
        <f>A84</f>
        <v>Real-Time Data Platform</v>
      </c>
      <c r="B26" t="s">
        <v>7</v>
      </c>
      <c r="C26" s="3" t="s">
        <v>9</v>
      </c>
      <c r="D26" s="24">
        <f t="shared" ref="D26:D31" si="24">SUMPRODUCT(G26:Z26,G$7:Z$7)</f>
        <v>2.7937235379892353</v>
      </c>
      <c r="E26" s="59">
        <f t="shared" si="18"/>
        <v>3.7000000000000011</v>
      </c>
      <c r="F26" s="59"/>
      <c r="G26" s="7">
        <f>(IF('Cost Calcs'!G$5&gt;='Platform Cost Inputs'!$H8,'Platform Cost Inputs'!$J8,0)+IF(AND(G$5&lt;'Platform Cost Inputs'!$H8,H$5&gt;'Platform Cost Inputs'!$H8),(('Platform Cost Inputs'!$H8-G$5)*'Platform Cost Inputs'!$J8),0))/Million</f>
        <v>0</v>
      </c>
      <c r="H26" s="7">
        <f>(IF('Cost Calcs'!H$5&gt;='Platform Cost Inputs'!$H8,'Platform Cost Inputs'!$J8,0)+IF(AND(H$5&lt;'Platform Cost Inputs'!$H8,I$5&gt;'Platform Cost Inputs'!$H8),(('Platform Cost Inputs'!$H8-H$5)*'Platform Cost Inputs'!$J8),0))/Million</f>
        <v>0.1</v>
      </c>
      <c r="I26" s="7">
        <f>(IF('Cost Calcs'!I$5&gt;='Platform Cost Inputs'!$H8,'Platform Cost Inputs'!$J8,0)+IF(AND(I$5&lt;'Platform Cost Inputs'!$H8,J$5&gt;'Platform Cost Inputs'!$H8),(('Platform Cost Inputs'!$H8-I$5)*'Platform Cost Inputs'!$J8),0))/Million</f>
        <v>0.2</v>
      </c>
      <c r="J26" s="7">
        <f>(IF('Cost Calcs'!J$5&gt;='Platform Cost Inputs'!$H8,'Platform Cost Inputs'!$J8,0)+IF(AND(J$5&lt;'Platform Cost Inputs'!$H8,K$5&gt;'Platform Cost Inputs'!$H8),(('Platform Cost Inputs'!$H8-J$5)*'Platform Cost Inputs'!$J8),0))/Million</f>
        <v>0.2</v>
      </c>
      <c r="K26" s="7">
        <f>(IF('Cost Calcs'!K$5&gt;='Platform Cost Inputs'!$H8,'Platform Cost Inputs'!$J8,0)+IF(AND(K$5&lt;'Platform Cost Inputs'!$H8,L$5&gt;'Platform Cost Inputs'!$H8),(('Platform Cost Inputs'!$H8-K$5)*'Platform Cost Inputs'!$J8),0))/Million</f>
        <v>0.2</v>
      </c>
      <c r="L26" s="7">
        <f>(IF('Cost Calcs'!L$5&gt;='Platform Cost Inputs'!$H8,'Platform Cost Inputs'!$J8,0)+IF(AND(L$5&lt;'Platform Cost Inputs'!$H8,M$5&gt;'Platform Cost Inputs'!$H8),(('Platform Cost Inputs'!$H8-L$5)*'Platform Cost Inputs'!$J8),0))/Million</f>
        <v>0.2</v>
      </c>
      <c r="M26" s="7">
        <f>(IF('Cost Calcs'!M$5&gt;='Platform Cost Inputs'!$H8,'Platform Cost Inputs'!$J8,0)+IF(AND(M$5&lt;'Platform Cost Inputs'!$H8,N$5&gt;'Platform Cost Inputs'!$H8),(('Platform Cost Inputs'!$H8-M$5)*'Platform Cost Inputs'!$J8),0))/Million</f>
        <v>0.2</v>
      </c>
      <c r="N26" s="7">
        <f>(IF('Cost Calcs'!N$5&gt;='Platform Cost Inputs'!$H8,'Platform Cost Inputs'!$J8,0)+IF(AND(N$5&lt;'Platform Cost Inputs'!$H8,O$5&gt;'Platform Cost Inputs'!$H8),(('Platform Cost Inputs'!$H8-N$5)*'Platform Cost Inputs'!$J8),0))/Million</f>
        <v>0.2</v>
      </c>
      <c r="O26" s="7">
        <f>(IF('Cost Calcs'!O$5&gt;='Platform Cost Inputs'!$H8,'Platform Cost Inputs'!$J8,0)+IF(AND(O$5&lt;'Platform Cost Inputs'!$H8,P$5&gt;'Platform Cost Inputs'!$H8),(('Platform Cost Inputs'!$H8-O$5)*'Platform Cost Inputs'!$J8),0))/Million</f>
        <v>0.2</v>
      </c>
      <c r="P26" s="7">
        <f>(IF('Cost Calcs'!P$5&gt;='Platform Cost Inputs'!$H8,'Platform Cost Inputs'!$J8,0)+IF(AND(P$5&lt;'Platform Cost Inputs'!$H8,Q$5&gt;'Platform Cost Inputs'!$H8),(('Platform Cost Inputs'!$H8-P$5)*'Platform Cost Inputs'!$J8),0))/Million</f>
        <v>0.2</v>
      </c>
      <c r="Q26" s="7">
        <f>(IF('Cost Calcs'!Q$5&gt;='Platform Cost Inputs'!$H8,'Platform Cost Inputs'!$J8,0)+IF(AND(Q$5&lt;'Platform Cost Inputs'!$H8,R$5&gt;'Platform Cost Inputs'!$H8),(('Platform Cost Inputs'!$H8-Q$5)*'Platform Cost Inputs'!$J8),0))/Million</f>
        <v>0.2</v>
      </c>
      <c r="R26" s="7">
        <f>(IF('Cost Calcs'!R$5&gt;='Platform Cost Inputs'!$H8,'Platform Cost Inputs'!$J8,0)+IF(AND(R$5&lt;'Platform Cost Inputs'!$H8,S$5&gt;'Platform Cost Inputs'!$H8),(('Platform Cost Inputs'!$H8-R$5)*'Platform Cost Inputs'!$J8),0))/Million</f>
        <v>0.2</v>
      </c>
      <c r="S26" s="7">
        <f>(IF('Cost Calcs'!S$5&gt;='Platform Cost Inputs'!$H8,'Platform Cost Inputs'!$J8,0)+IF(AND(S$5&lt;'Platform Cost Inputs'!$H8,T$5&gt;'Platform Cost Inputs'!$H8),(('Platform Cost Inputs'!$H8-S$5)*'Platform Cost Inputs'!$J8),0))/Million</f>
        <v>0.2</v>
      </c>
      <c r="T26" s="7">
        <f>(IF('Cost Calcs'!T$5&gt;='Platform Cost Inputs'!$H8,'Platform Cost Inputs'!$J8,0)+IF(AND(T$5&lt;'Platform Cost Inputs'!$H8,U$5&gt;'Platform Cost Inputs'!$H8),(('Platform Cost Inputs'!$H8-T$5)*'Platform Cost Inputs'!$J8),0))/Million</f>
        <v>0.2</v>
      </c>
      <c r="U26" s="7">
        <f>(IF('Cost Calcs'!U$5&gt;='Platform Cost Inputs'!$H8,'Platform Cost Inputs'!$J8,0)+IF(AND(U$5&lt;'Platform Cost Inputs'!$H8,V$5&gt;'Platform Cost Inputs'!$H8),(('Platform Cost Inputs'!$H8-U$5)*'Platform Cost Inputs'!$J8),0))/Million</f>
        <v>0.2</v>
      </c>
      <c r="V26" s="7">
        <f>(IF('Cost Calcs'!V$5&gt;='Platform Cost Inputs'!$H8,'Platform Cost Inputs'!$J8,0)+IF(AND(V$5&lt;'Platform Cost Inputs'!$H8,W$5&gt;'Platform Cost Inputs'!$H8),(('Platform Cost Inputs'!$H8-V$5)*'Platform Cost Inputs'!$J8),0))/Million</f>
        <v>0.2</v>
      </c>
      <c r="W26" s="7">
        <f>(IF('Cost Calcs'!W$5&gt;='Platform Cost Inputs'!$H8,'Platform Cost Inputs'!$J8,0)+IF(AND(W$5&lt;'Platform Cost Inputs'!$H8,X$5&gt;'Platform Cost Inputs'!$H8),(('Platform Cost Inputs'!$H8-W$5)*'Platform Cost Inputs'!$J8),0))/Million</f>
        <v>0.2</v>
      </c>
      <c r="X26" s="7">
        <f>(IF('Cost Calcs'!X$5&gt;='Platform Cost Inputs'!$H8,'Platform Cost Inputs'!$J8,0)+IF(AND(X$5&lt;'Platform Cost Inputs'!$H8,Y$5&gt;'Platform Cost Inputs'!$H8),(('Platform Cost Inputs'!$H8-X$5)*'Platform Cost Inputs'!$J8),0))/Million</f>
        <v>0.2</v>
      </c>
      <c r="Y26" s="7">
        <f>(IF('Cost Calcs'!Y$5&gt;='Platform Cost Inputs'!$H8,'Platform Cost Inputs'!$J8,0)+IF(AND(Y$5&lt;'Platform Cost Inputs'!$H8,Z$5&gt;'Platform Cost Inputs'!$H8),(('Platform Cost Inputs'!$H8-Y$5)*'Platform Cost Inputs'!$J8),0))/Million</f>
        <v>0.2</v>
      </c>
      <c r="Z26" s="7">
        <f>(IF('Cost Calcs'!Z$5&gt;='Platform Cost Inputs'!$H8,'Platform Cost Inputs'!$J8,0)+IF(AND(Z$5&lt;'Platform Cost Inputs'!$H8,AA$5&gt;'Platform Cost Inputs'!$H8),(('Platform Cost Inputs'!$H8-Z$5)*'Platform Cost Inputs'!$J8),0))/Million</f>
        <v>0.2</v>
      </c>
    </row>
    <row r="27" spans="1:26" ht="15.75" x14ac:dyDescent="0.25">
      <c r="A27" s="56" t="str">
        <f t="shared" ref="A27:A36" si="25">A85</f>
        <v>Iot Platform for Network Sensors</v>
      </c>
      <c r="B27" t="s">
        <v>7</v>
      </c>
      <c r="C27" s="3" t="s">
        <v>9</v>
      </c>
      <c r="D27" s="24">
        <f t="shared" si="24"/>
        <v>1.3890692477619804</v>
      </c>
      <c r="E27" s="59">
        <f t="shared" si="18"/>
        <v>1.9220000000000006</v>
      </c>
      <c r="F27" s="59"/>
      <c r="G27" s="7">
        <f>(IF('Cost Calcs'!G$5&gt;='Platform Cost Inputs'!$H9,'Platform Cost Inputs'!$J9,0)+IF(AND(G$5&lt;'Platform Cost Inputs'!$H9,H$5&gt;'Platform Cost Inputs'!$H9),(('Platform Cost Inputs'!$H9-G$5)*'Platform Cost Inputs'!$J9),0))/Million</f>
        <v>0</v>
      </c>
      <c r="H27" s="7">
        <f>(IF('Cost Calcs'!H$5&gt;='Platform Cost Inputs'!$H9,'Platform Cost Inputs'!$J9,0)+IF(AND(H$5&lt;'Platform Cost Inputs'!$H9,I$5&gt;'Platform Cost Inputs'!$H9),(('Platform Cost Inputs'!$H9-H$5)*'Platform Cost Inputs'!$J9),0))/Million</f>
        <v>0</v>
      </c>
      <c r="I27" s="7">
        <f>(IF('Cost Calcs'!I$5&gt;='Platform Cost Inputs'!$H9,'Platform Cost Inputs'!$J9,0)+IF(AND(I$5&lt;'Platform Cost Inputs'!$H9,J$5&gt;'Platform Cost Inputs'!$H9),(('Platform Cost Inputs'!$H9-I$5)*'Platform Cost Inputs'!$J9),0))/Million</f>
        <v>0</v>
      </c>
      <c r="J27" s="7">
        <f>(IF('Cost Calcs'!J$5&gt;='Platform Cost Inputs'!$H9,'Platform Cost Inputs'!$J9,0)+IF(AND(J$5&lt;'Platform Cost Inputs'!$H9,K$5&gt;'Platform Cost Inputs'!$H9),(('Platform Cost Inputs'!$H9-J$5)*'Platform Cost Inputs'!$J9),0))/Million</f>
        <v>0</v>
      </c>
      <c r="K27" s="7">
        <f>(IF('Cost Calcs'!K$5&gt;='Platform Cost Inputs'!$H9,'Platform Cost Inputs'!$J9,0)+IF(AND(K$5&lt;'Platform Cost Inputs'!$H9,L$5&gt;'Platform Cost Inputs'!$H9),(('Platform Cost Inputs'!$H9-K$5)*'Platform Cost Inputs'!$J9),0))/Million</f>
        <v>6.2E-2</v>
      </c>
      <c r="L27" s="7">
        <f>(IF('Cost Calcs'!L$5&gt;='Platform Cost Inputs'!$H9,'Platform Cost Inputs'!$J9,0)+IF(AND(L$5&lt;'Platform Cost Inputs'!$H9,M$5&gt;'Platform Cost Inputs'!$H9),(('Platform Cost Inputs'!$H9-L$5)*'Platform Cost Inputs'!$J9),0))/Million</f>
        <v>0.124</v>
      </c>
      <c r="M27" s="7">
        <f>(IF('Cost Calcs'!M$5&gt;='Platform Cost Inputs'!$H9,'Platform Cost Inputs'!$J9,0)+IF(AND(M$5&lt;'Platform Cost Inputs'!$H9,N$5&gt;'Platform Cost Inputs'!$H9),(('Platform Cost Inputs'!$H9-M$5)*'Platform Cost Inputs'!$J9),0))/Million</f>
        <v>0.124</v>
      </c>
      <c r="N27" s="7">
        <f>(IF('Cost Calcs'!N$5&gt;='Platform Cost Inputs'!$H9,'Platform Cost Inputs'!$J9,0)+IF(AND(N$5&lt;'Platform Cost Inputs'!$H9,O$5&gt;'Platform Cost Inputs'!$H9),(('Platform Cost Inputs'!$H9-N$5)*'Platform Cost Inputs'!$J9),0))/Million</f>
        <v>0.124</v>
      </c>
      <c r="O27" s="7">
        <f>(IF('Cost Calcs'!O$5&gt;='Platform Cost Inputs'!$H9,'Platform Cost Inputs'!$J9,0)+IF(AND(O$5&lt;'Platform Cost Inputs'!$H9,P$5&gt;'Platform Cost Inputs'!$H9),(('Platform Cost Inputs'!$H9-O$5)*'Platform Cost Inputs'!$J9),0))/Million</f>
        <v>0.124</v>
      </c>
      <c r="P27" s="7">
        <f>(IF('Cost Calcs'!P$5&gt;='Platform Cost Inputs'!$H9,'Platform Cost Inputs'!$J9,0)+IF(AND(P$5&lt;'Platform Cost Inputs'!$H9,Q$5&gt;'Platform Cost Inputs'!$H9),(('Platform Cost Inputs'!$H9-P$5)*'Platform Cost Inputs'!$J9),0))/Million</f>
        <v>0.124</v>
      </c>
      <c r="Q27" s="7">
        <f>(IF('Cost Calcs'!Q$5&gt;='Platform Cost Inputs'!$H9,'Platform Cost Inputs'!$J9,0)+IF(AND(Q$5&lt;'Platform Cost Inputs'!$H9,R$5&gt;'Platform Cost Inputs'!$H9),(('Platform Cost Inputs'!$H9-Q$5)*'Platform Cost Inputs'!$J9),0))/Million</f>
        <v>0.124</v>
      </c>
      <c r="R27" s="7">
        <f>(IF('Cost Calcs'!R$5&gt;='Platform Cost Inputs'!$H9,'Platform Cost Inputs'!$J9,0)+IF(AND(R$5&lt;'Platform Cost Inputs'!$H9,S$5&gt;'Platform Cost Inputs'!$H9),(('Platform Cost Inputs'!$H9-R$5)*'Platform Cost Inputs'!$J9),0))/Million</f>
        <v>0.124</v>
      </c>
      <c r="S27" s="7">
        <f>(IF('Cost Calcs'!S$5&gt;='Platform Cost Inputs'!$H9,'Platform Cost Inputs'!$J9,0)+IF(AND(S$5&lt;'Platform Cost Inputs'!$H9,T$5&gt;'Platform Cost Inputs'!$H9),(('Platform Cost Inputs'!$H9-S$5)*'Platform Cost Inputs'!$J9),0))/Million</f>
        <v>0.124</v>
      </c>
      <c r="T27" s="7">
        <f>(IF('Cost Calcs'!T$5&gt;='Platform Cost Inputs'!$H9,'Platform Cost Inputs'!$J9,0)+IF(AND(T$5&lt;'Platform Cost Inputs'!$H9,U$5&gt;'Platform Cost Inputs'!$H9),(('Platform Cost Inputs'!$H9-T$5)*'Platform Cost Inputs'!$J9),0))/Million</f>
        <v>0.124</v>
      </c>
      <c r="U27" s="7">
        <f>(IF('Cost Calcs'!U$5&gt;='Platform Cost Inputs'!$H9,'Platform Cost Inputs'!$J9,0)+IF(AND(U$5&lt;'Platform Cost Inputs'!$H9,V$5&gt;'Platform Cost Inputs'!$H9),(('Platform Cost Inputs'!$H9-U$5)*'Platform Cost Inputs'!$J9),0))/Million</f>
        <v>0.124</v>
      </c>
      <c r="V27" s="7">
        <f>(IF('Cost Calcs'!V$5&gt;='Platform Cost Inputs'!$H9,'Platform Cost Inputs'!$J9,0)+IF(AND(V$5&lt;'Platform Cost Inputs'!$H9,W$5&gt;'Platform Cost Inputs'!$H9),(('Platform Cost Inputs'!$H9-V$5)*'Platform Cost Inputs'!$J9),0))/Million</f>
        <v>0.124</v>
      </c>
      <c r="W27" s="7">
        <f>(IF('Cost Calcs'!W$5&gt;='Platform Cost Inputs'!$H9,'Platform Cost Inputs'!$J9,0)+IF(AND(W$5&lt;'Platform Cost Inputs'!$H9,X$5&gt;'Platform Cost Inputs'!$H9),(('Platform Cost Inputs'!$H9-W$5)*'Platform Cost Inputs'!$J9),0))/Million</f>
        <v>0.124</v>
      </c>
      <c r="X27" s="7">
        <f>(IF('Cost Calcs'!X$5&gt;='Platform Cost Inputs'!$H9,'Platform Cost Inputs'!$J9,0)+IF(AND(X$5&lt;'Platform Cost Inputs'!$H9,Y$5&gt;'Platform Cost Inputs'!$H9),(('Platform Cost Inputs'!$H9-X$5)*'Platform Cost Inputs'!$J9),0))/Million</f>
        <v>0.124</v>
      </c>
      <c r="Y27" s="7">
        <f>(IF('Cost Calcs'!Y$5&gt;='Platform Cost Inputs'!$H9,'Platform Cost Inputs'!$J9,0)+IF(AND(Y$5&lt;'Platform Cost Inputs'!$H9,Z$5&gt;'Platform Cost Inputs'!$H9),(('Platform Cost Inputs'!$H9-Y$5)*'Platform Cost Inputs'!$J9),0))/Million</f>
        <v>0.124</v>
      </c>
      <c r="Z27" s="7">
        <f>(IF('Cost Calcs'!Z$5&gt;='Platform Cost Inputs'!$H9,'Platform Cost Inputs'!$J9,0)+IF(AND(Z$5&lt;'Platform Cost Inputs'!$H9,AA$5&gt;'Platform Cost Inputs'!$H9),(('Platform Cost Inputs'!$H9-Z$5)*'Platform Cost Inputs'!$J9),0))/Million</f>
        <v>0.124</v>
      </c>
    </row>
    <row r="28" spans="1:26" ht="15.75" x14ac:dyDescent="0.25">
      <c r="A28" s="56" t="str">
        <f t="shared" si="25"/>
        <v>IoT Platform Extension for Network Sensors</v>
      </c>
      <c r="B28" t="s">
        <v>7</v>
      </c>
      <c r="C28" s="3" t="s">
        <v>9</v>
      </c>
      <c r="D28" s="24">
        <f t="shared" si="24"/>
        <v>2.2391002576709971</v>
      </c>
      <c r="E28" s="59">
        <f t="shared" si="18"/>
        <v>2.9879999999999995</v>
      </c>
      <c r="F28" s="59"/>
      <c r="G28" s="7">
        <f>(IF('Cost Calcs'!G$5&gt;='Platform Cost Inputs'!$H11,'Platform Cost Inputs'!$J11,0)+IF(AND(G$5&lt;'Platform Cost Inputs'!$H11,H$5&gt;'Platform Cost Inputs'!$H11),(('Platform Cost Inputs'!$H11-G$5)*'Platform Cost Inputs'!$J11),0))/Million</f>
        <v>0</v>
      </c>
      <c r="H28" s="7">
        <f>(IF('Cost Calcs'!H$5&gt;='Platform Cost Inputs'!$H11,'Platform Cost Inputs'!$J11,0)+IF(AND(H$5&lt;'Platform Cost Inputs'!$H11,I$5&gt;'Platform Cost Inputs'!$H11),(('Platform Cost Inputs'!$H11-H$5)*'Platform Cost Inputs'!$J11),0))/Million</f>
        <v>0</v>
      </c>
      <c r="I28" s="7">
        <f>(IF('Cost Calcs'!I$5&gt;='Platform Cost Inputs'!$H11,'Platform Cost Inputs'!$J11,0)+IF(AND(I$5&lt;'Platform Cost Inputs'!$H11,J$5&gt;'Platform Cost Inputs'!$H11),(('Platform Cost Inputs'!$H11-I$5)*'Platform Cost Inputs'!$J11),0))/Million</f>
        <v>0.16600000000000001</v>
      </c>
      <c r="J28" s="7">
        <f>(IF('Cost Calcs'!J$5&gt;='Platform Cost Inputs'!$H11,'Platform Cost Inputs'!$J11,0)+IF(AND(J$5&lt;'Platform Cost Inputs'!$H11,K$5&gt;'Platform Cost Inputs'!$H11),(('Platform Cost Inputs'!$H11-J$5)*'Platform Cost Inputs'!$J11),0))/Million</f>
        <v>0.16600000000000001</v>
      </c>
      <c r="K28" s="7">
        <f>(IF('Cost Calcs'!K$5&gt;='Platform Cost Inputs'!$H11,'Platform Cost Inputs'!$J11,0)+IF(AND(K$5&lt;'Platform Cost Inputs'!$H11,L$5&gt;'Platform Cost Inputs'!$H11),(('Platform Cost Inputs'!$H11-K$5)*'Platform Cost Inputs'!$J11),0))/Million</f>
        <v>0.16600000000000001</v>
      </c>
      <c r="L28" s="7">
        <f>(IF('Cost Calcs'!L$5&gt;='Platform Cost Inputs'!$H11,'Platform Cost Inputs'!$J11,0)+IF(AND(L$5&lt;'Platform Cost Inputs'!$H11,M$5&gt;'Platform Cost Inputs'!$H11),(('Platform Cost Inputs'!$H11-L$5)*'Platform Cost Inputs'!$J11),0))/Million</f>
        <v>0.16600000000000001</v>
      </c>
      <c r="M28" s="7">
        <f>(IF('Cost Calcs'!M$5&gt;='Platform Cost Inputs'!$H11,'Platform Cost Inputs'!$J11,0)+IF(AND(M$5&lt;'Platform Cost Inputs'!$H11,N$5&gt;'Platform Cost Inputs'!$H11),(('Platform Cost Inputs'!$H11-M$5)*'Platform Cost Inputs'!$J11),0))/Million</f>
        <v>0.16600000000000001</v>
      </c>
      <c r="N28" s="7">
        <f>(IF('Cost Calcs'!N$5&gt;='Platform Cost Inputs'!$H11,'Platform Cost Inputs'!$J11,0)+IF(AND(N$5&lt;'Platform Cost Inputs'!$H11,O$5&gt;'Platform Cost Inputs'!$H11),(('Platform Cost Inputs'!$H11-N$5)*'Platform Cost Inputs'!$J11),0))/Million</f>
        <v>0.16600000000000001</v>
      </c>
      <c r="O28" s="7">
        <f>(IF('Cost Calcs'!O$5&gt;='Platform Cost Inputs'!$H11,'Platform Cost Inputs'!$J11,0)+IF(AND(O$5&lt;'Platform Cost Inputs'!$H11,P$5&gt;'Platform Cost Inputs'!$H11),(('Platform Cost Inputs'!$H11-O$5)*'Platform Cost Inputs'!$J11),0))/Million</f>
        <v>0.16600000000000001</v>
      </c>
      <c r="P28" s="7">
        <f>(IF('Cost Calcs'!P$5&gt;='Platform Cost Inputs'!$H11,'Platform Cost Inputs'!$J11,0)+IF(AND(P$5&lt;'Platform Cost Inputs'!$H11,Q$5&gt;'Platform Cost Inputs'!$H11),(('Platform Cost Inputs'!$H11-P$5)*'Platform Cost Inputs'!$J11),0))/Million</f>
        <v>0.16600000000000001</v>
      </c>
      <c r="Q28" s="7">
        <f>(IF('Cost Calcs'!Q$5&gt;='Platform Cost Inputs'!$H11,'Platform Cost Inputs'!$J11,0)+IF(AND(Q$5&lt;'Platform Cost Inputs'!$H11,R$5&gt;'Platform Cost Inputs'!$H11),(('Platform Cost Inputs'!$H11-Q$5)*'Platform Cost Inputs'!$J11),0))/Million</f>
        <v>0.16600000000000001</v>
      </c>
      <c r="R28" s="7">
        <f>(IF('Cost Calcs'!R$5&gt;='Platform Cost Inputs'!$H11,'Platform Cost Inputs'!$J11,0)+IF(AND(R$5&lt;'Platform Cost Inputs'!$H11,S$5&gt;'Platform Cost Inputs'!$H11),(('Platform Cost Inputs'!$H11-R$5)*'Platform Cost Inputs'!$J11),0))/Million</f>
        <v>0.16600000000000001</v>
      </c>
      <c r="S28" s="7">
        <f>(IF('Cost Calcs'!S$5&gt;='Platform Cost Inputs'!$H11,'Platform Cost Inputs'!$J11,0)+IF(AND(S$5&lt;'Platform Cost Inputs'!$H11,T$5&gt;'Platform Cost Inputs'!$H11),(('Platform Cost Inputs'!$H11-S$5)*'Platform Cost Inputs'!$J11),0))/Million</f>
        <v>0.16600000000000001</v>
      </c>
      <c r="T28" s="7">
        <f>(IF('Cost Calcs'!T$5&gt;='Platform Cost Inputs'!$H11,'Platform Cost Inputs'!$J11,0)+IF(AND(T$5&lt;'Platform Cost Inputs'!$H11,U$5&gt;'Platform Cost Inputs'!$H11),(('Platform Cost Inputs'!$H11-T$5)*'Platform Cost Inputs'!$J11),0))/Million</f>
        <v>0.16600000000000001</v>
      </c>
      <c r="U28" s="7">
        <f>(IF('Cost Calcs'!U$5&gt;='Platform Cost Inputs'!$H11,'Platform Cost Inputs'!$J11,0)+IF(AND(U$5&lt;'Platform Cost Inputs'!$H11,V$5&gt;'Platform Cost Inputs'!$H11),(('Platform Cost Inputs'!$H11-U$5)*'Platform Cost Inputs'!$J11),0))/Million</f>
        <v>0.16600000000000001</v>
      </c>
      <c r="V28" s="7">
        <f>(IF('Cost Calcs'!V$5&gt;='Platform Cost Inputs'!$H11,'Platform Cost Inputs'!$J11,0)+IF(AND(V$5&lt;'Platform Cost Inputs'!$H11,W$5&gt;'Platform Cost Inputs'!$H11),(('Platform Cost Inputs'!$H11-V$5)*'Platform Cost Inputs'!$J11),0))/Million</f>
        <v>0.16600000000000001</v>
      </c>
      <c r="W28" s="7">
        <f>(IF('Cost Calcs'!W$5&gt;='Platform Cost Inputs'!$H11,'Platform Cost Inputs'!$J11,0)+IF(AND(W$5&lt;'Platform Cost Inputs'!$H11,X$5&gt;'Platform Cost Inputs'!$H11),(('Platform Cost Inputs'!$H11-W$5)*'Platform Cost Inputs'!$J11),0))/Million</f>
        <v>0.16600000000000001</v>
      </c>
      <c r="X28" s="7">
        <f>(IF('Cost Calcs'!X$5&gt;='Platform Cost Inputs'!$H11,'Platform Cost Inputs'!$J11,0)+IF(AND(X$5&lt;'Platform Cost Inputs'!$H11,Y$5&gt;'Platform Cost Inputs'!$H11),(('Platform Cost Inputs'!$H11-X$5)*'Platform Cost Inputs'!$J11),0))/Million</f>
        <v>0.16600000000000001</v>
      </c>
      <c r="Y28" s="7">
        <f>(IF('Cost Calcs'!Y$5&gt;='Platform Cost Inputs'!$H11,'Platform Cost Inputs'!$J11,0)+IF(AND(Y$5&lt;'Platform Cost Inputs'!$H11,Z$5&gt;'Platform Cost Inputs'!$H11),(('Platform Cost Inputs'!$H11-Y$5)*'Platform Cost Inputs'!$J11),0))/Million</f>
        <v>0.16600000000000001</v>
      </c>
      <c r="Z28" s="7">
        <f>(IF('Cost Calcs'!Z$5&gt;='Platform Cost Inputs'!$H11,'Platform Cost Inputs'!$J11,0)+IF(AND(Z$5&lt;'Platform Cost Inputs'!$H11,AA$5&gt;'Platform Cost Inputs'!$H11),(('Platform Cost Inputs'!$H11-Z$5)*'Platform Cost Inputs'!$J11),0))/Million</f>
        <v>0.16600000000000001</v>
      </c>
    </row>
    <row r="29" spans="1:26" ht="15.75" x14ac:dyDescent="0.25">
      <c r="A29" s="56" t="str">
        <f t="shared" si="25"/>
        <v>Real Time Grid Analytics Platform</v>
      </c>
      <c r="B29" t="s">
        <v>7</v>
      </c>
      <c r="C29" s="3" t="s">
        <v>9</v>
      </c>
      <c r="D29" s="24">
        <f t="shared" si="24"/>
        <v>2.8897359221579926</v>
      </c>
      <c r="E29" s="59">
        <f t="shared" si="18"/>
        <v>3.8000000000000012</v>
      </c>
      <c r="F29" s="59"/>
      <c r="G29" s="7">
        <f>(IF('Cost Calcs'!G$5&gt;='Platform Cost Inputs'!$H12,'Platform Cost Inputs'!$J12,0)+IF(AND(G$5&lt;'Platform Cost Inputs'!$H12,H$5&gt;'Platform Cost Inputs'!$H12),(('Platform Cost Inputs'!$H12-G$5)*'Platform Cost Inputs'!$J12),0))/Million</f>
        <v>0</v>
      </c>
      <c r="H29" s="7">
        <f>(IF('Cost Calcs'!H$5&gt;='Platform Cost Inputs'!$H12,'Platform Cost Inputs'!$J12,0)+IF(AND(H$5&lt;'Platform Cost Inputs'!$H12,I$5&gt;'Platform Cost Inputs'!$H12),(('Platform Cost Inputs'!$H12-H$5)*'Platform Cost Inputs'!$J12),0))/Million</f>
        <v>0.2</v>
      </c>
      <c r="I29" s="7">
        <f>(IF('Cost Calcs'!I$5&gt;='Platform Cost Inputs'!$H12,'Platform Cost Inputs'!$J12,0)+IF(AND(I$5&lt;'Platform Cost Inputs'!$H12,J$5&gt;'Platform Cost Inputs'!$H12),(('Platform Cost Inputs'!$H12-I$5)*'Platform Cost Inputs'!$J12),0))/Million</f>
        <v>0.2</v>
      </c>
      <c r="J29" s="7">
        <f>(IF('Cost Calcs'!J$5&gt;='Platform Cost Inputs'!$H12,'Platform Cost Inputs'!$J12,0)+IF(AND(J$5&lt;'Platform Cost Inputs'!$H12,K$5&gt;'Platform Cost Inputs'!$H12),(('Platform Cost Inputs'!$H12-J$5)*'Platform Cost Inputs'!$J12),0))/Million</f>
        <v>0.2</v>
      </c>
      <c r="K29" s="7">
        <f>(IF('Cost Calcs'!K$5&gt;='Platform Cost Inputs'!$H12,'Platform Cost Inputs'!$J12,0)+IF(AND(K$5&lt;'Platform Cost Inputs'!$H12,L$5&gt;'Platform Cost Inputs'!$H12),(('Platform Cost Inputs'!$H12-K$5)*'Platform Cost Inputs'!$J12),0))/Million</f>
        <v>0.2</v>
      </c>
      <c r="L29" s="7">
        <f>(IF('Cost Calcs'!L$5&gt;='Platform Cost Inputs'!$H12,'Platform Cost Inputs'!$J12,0)+IF(AND(L$5&lt;'Platform Cost Inputs'!$H12,M$5&gt;'Platform Cost Inputs'!$H12),(('Platform Cost Inputs'!$H12-L$5)*'Platform Cost Inputs'!$J12),0))/Million</f>
        <v>0.2</v>
      </c>
      <c r="M29" s="7">
        <f>(IF('Cost Calcs'!M$5&gt;='Platform Cost Inputs'!$H12,'Platform Cost Inputs'!$J12,0)+IF(AND(M$5&lt;'Platform Cost Inputs'!$H12,N$5&gt;'Platform Cost Inputs'!$H12),(('Platform Cost Inputs'!$H12-M$5)*'Platform Cost Inputs'!$J12),0))/Million</f>
        <v>0.2</v>
      </c>
      <c r="N29" s="7">
        <f>(IF('Cost Calcs'!N$5&gt;='Platform Cost Inputs'!$H12,'Platform Cost Inputs'!$J12,0)+IF(AND(N$5&lt;'Platform Cost Inputs'!$H12,O$5&gt;'Platform Cost Inputs'!$H12),(('Platform Cost Inputs'!$H12-N$5)*'Platform Cost Inputs'!$J12),0))/Million</f>
        <v>0.2</v>
      </c>
      <c r="O29" s="7">
        <f>(IF('Cost Calcs'!O$5&gt;='Platform Cost Inputs'!$H12,'Platform Cost Inputs'!$J12,0)+IF(AND(O$5&lt;'Platform Cost Inputs'!$H12,P$5&gt;'Platform Cost Inputs'!$H12),(('Platform Cost Inputs'!$H12-O$5)*'Platform Cost Inputs'!$J12),0))/Million</f>
        <v>0.2</v>
      </c>
      <c r="P29" s="7">
        <f>(IF('Cost Calcs'!P$5&gt;='Platform Cost Inputs'!$H12,'Platform Cost Inputs'!$J12,0)+IF(AND(P$5&lt;'Platform Cost Inputs'!$H12,Q$5&gt;'Platform Cost Inputs'!$H12),(('Platform Cost Inputs'!$H12-P$5)*'Platform Cost Inputs'!$J12),0))/Million</f>
        <v>0.2</v>
      </c>
      <c r="Q29" s="7">
        <f>(IF('Cost Calcs'!Q$5&gt;='Platform Cost Inputs'!$H12,'Platform Cost Inputs'!$J12,0)+IF(AND(Q$5&lt;'Platform Cost Inputs'!$H12,R$5&gt;'Platform Cost Inputs'!$H12),(('Platform Cost Inputs'!$H12-Q$5)*'Platform Cost Inputs'!$J12),0))/Million</f>
        <v>0.2</v>
      </c>
      <c r="R29" s="7">
        <f>(IF('Cost Calcs'!R$5&gt;='Platform Cost Inputs'!$H12,'Platform Cost Inputs'!$J12,0)+IF(AND(R$5&lt;'Platform Cost Inputs'!$H12,S$5&gt;'Platform Cost Inputs'!$H12),(('Platform Cost Inputs'!$H12-R$5)*'Platform Cost Inputs'!$J12),0))/Million</f>
        <v>0.2</v>
      </c>
      <c r="S29" s="7">
        <f>(IF('Cost Calcs'!S$5&gt;='Platform Cost Inputs'!$H12,'Platform Cost Inputs'!$J12,0)+IF(AND(S$5&lt;'Platform Cost Inputs'!$H12,T$5&gt;'Platform Cost Inputs'!$H12),(('Platform Cost Inputs'!$H12-S$5)*'Platform Cost Inputs'!$J12),0))/Million</f>
        <v>0.2</v>
      </c>
      <c r="T29" s="7">
        <f>(IF('Cost Calcs'!T$5&gt;='Platform Cost Inputs'!$H12,'Platform Cost Inputs'!$J12,0)+IF(AND(T$5&lt;'Platform Cost Inputs'!$H12,U$5&gt;'Platform Cost Inputs'!$H12),(('Platform Cost Inputs'!$H12-T$5)*'Platform Cost Inputs'!$J12),0))/Million</f>
        <v>0.2</v>
      </c>
      <c r="U29" s="7">
        <f>(IF('Cost Calcs'!U$5&gt;='Platform Cost Inputs'!$H12,'Platform Cost Inputs'!$J12,0)+IF(AND(U$5&lt;'Platform Cost Inputs'!$H12,V$5&gt;'Platform Cost Inputs'!$H12),(('Platform Cost Inputs'!$H12-U$5)*'Platform Cost Inputs'!$J12),0))/Million</f>
        <v>0.2</v>
      </c>
      <c r="V29" s="7">
        <f>(IF('Cost Calcs'!V$5&gt;='Platform Cost Inputs'!$H12,'Platform Cost Inputs'!$J12,0)+IF(AND(V$5&lt;'Platform Cost Inputs'!$H12,W$5&gt;'Platform Cost Inputs'!$H12),(('Platform Cost Inputs'!$H12-V$5)*'Platform Cost Inputs'!$J12),0))/Million</f>
        <v>0.2</v>
      </c>
      <c r="W29" s="7">
        <f>(IF('Cost Calcs'!W$5&gt;='Platform Cost Inputs'!$H12,'Platform Cost Inputs'!$J12,0)+IF(AND(W$5&lt;'Platform Cost Inputs'!$H12,X$5&gt;'Platform Cost Inputs'!$H12),(('Platform Cost Inputs'!$H12-W$5)*'Platform Cost Inputs'!$J12),0))/Million</f>
        <v>0.2</v>
      </c>
      <c r="X29" s="7">
        <f>(IF('Cost Calcs'!X$5&gt;='Platform Cost Inputs'!$H12,'Platform Cost Inputs'!$J12,0)+IF(AND(X$5&lt;'Platform Cost Inputs'!$H12,Y$5&gt;'Platform Cost Inputs'!$H12),(('Platform Cost Inputs'!$H12-X$5)*'Platform Cost Inputs'!$J12),0))/Million</f>
        <v>0.2</v>
      </c>
      <c r="Y29" s="7">
        <f>(IF('Cost Calcs'!Y$5&gt;='Platform Cost Inputs'!$H12,'Platform Cost Inputs'!$J12,0)+IF(AND(Y$5&lt;'Platform Cost Inputs'!$H12,Z$5&gt;'Platform Cost Inputs'!$H12),(('Platform Cost Inputs'!$H12-Y$5)*'Platform Cost Inputs'!$J12),0))/Million</f>
        <v>0.2</v>
      </c>
      <c r="Z29" s="7">
        <f>(IF('Cost Calcs'!Z$5&gt;='Platform Cost Inputs'!$H12,'Platform Cost Inputs'!$J12,0)+IF(AND(Z$5&lt;'Platform Cost Inputs'!$H12,AA$5&gt;'Platform Cost Inputs'!$H12),(('Platform Cost Inputs'!$H12-Z$5)*'Platform Cost Inputs'!$J12),0))/Million</f>
        <v>0.2</v>
      </c>
    </row>
    <row r="30" spans="1:26" ht="15.75" x14ac:dyDescent="0.25">
      <c r="A30" s="56" t="str">
        <f t="shared" si="25"/>
        <v>Real Time LV Power Flow Analysis</v>
      </c>
      <c r="B30" t="s">
        <v>7</v>
      </c>
      <c r="C30" s="3" t="s">
        <v>9</v>
      </c>
      <c r="D30" s="24">
        <f t="shared" si="24"/>
        <v>0.67442778845511953</v>
      </c>
      <c r="E30" s="59">
        <f t="shared" si="18"/>
        <v>0.90000000000000024</v>
      </c>
      <c r="F30" s="59"/>
      <c r="G30" s="7">
        <f>(IF('Cost Calcs'!G$5&gt;='Platform Cost Inputs'!$H13,'Platform Cost Inputs'!$J13,0)+IF(AND(G$5&lt;'Platform Cost Inputs'!$H13,H$5&gt;'Platform Cost Inputs'!$H13),(('Platform Cost Inputs'!$H13-G$5)*'Platform Cost Inputs'!$J13),0))/Million</f>
        <v>0</v>
      </c>
      <c r="H30" s="7">
        <f>(IF('Cost Calcs'!H$5&gt;='Platform Cost Inputs'!$H13,'Platform Cost Inputs'!$J13,0)+IF(AND(H$5&lt;'Platform Cost Inputs'!$H13,I$5&gt;'Platform Cost Inputs'!$H13),(('Platform Cost Inputs'!$H13-H$5)*'Platform Cost Inputs'!$J13),0))/Million</f>
        <v>0</v>
      </c>
      <c r="I30" s="7">
        <f>(IF('Cost Calcs'!I$5&gt;='Platform Cost Inputs'!$H13,'Platform Cost Inputs'!$J13,0)+IF(AND(I$5&lt;'Platform Cost Inputs'!$H13,J$5&gt;'Platform Cost Inputs'!$H13),(('Platform Cost Inputs'!$H13-I$5)*'Platform Cost Inputs'!$J13),0))/Million</f>
        <v>0.05</v>
      </c>
      <c r="J30" s="7">
        <f>(IF('Cost Calcs'!J$5&gt;='Platform Cost Inputs'!$H13,'Platform Cost Inputs'!$J13,0)+IF(AND(J$5&lt;'Platform Cost Inputs'!$H13,K$5&gt;'Platform Cost Inputs'!$H13),(('Platform Cost Inputs'!$H13-J$5)*'Platform Cost Inputs'!$J13),0))/Million</f>
        <v>0.05</v>
      </c>
      <c r="K30" s="7">
        <f>(IF('Cost Calcs'!K$5&gt;='Platform Cost Inputs'!$H13,'Platform Cost Inputs'!$J13,0)+IF(AND(K$5&lt;'Platform Cost Inputs'!$H13,L$5&gt;'Platform Cost Inputs'!$H13),(('Platform Cost Inputs'!$H13-K$5)*'Platform Cost Inputs'!$J13),0))/Million</f>
        <v>0.05</v>
      </c>
      <c r="L30" s="7">
        <f>(IF('Cost Calcs'!L$5&gt;='Platform Cost Inputs'!$H13,'Platform Cost Inputs'!$J13,0)+IF(AND(L$5&lt;'Platform Cost Inputs'!$H13,M$5&gt;'Platform Cost Inputs'!$H13),(('Platform Cost Inputs'!$H13-L$5)*'Platform Cost Inputs'!$J13),0))/Million</f>
        <v>0.05</v>
      </c>
      <c r="M30" s="7">
        <f>(IF('Cost Calcs'!M$5&gt;='Platform Cost Inputs'!$H13,'Platform Cost Inputs'!$J13,0)+IF(AND(M$5&lt;'Platform Cost Inputs'!$H13,N$5&gt;'Platform Cost Inputs'!$H13),(('Platform Cost Inputs'!$H13-M$5)*'Platform Cost Inputs'!$J13),0))/Million</f>
        <v>0.05</v>
      </c>
      <c r="N30" s="7">
        <f>(IF('Cost Calcs'!N$5&gt;='Platform Cost Inputs'!$H13,'Platform Cost Inputs'!$J13,0)+IF(AND(N$5&lt;'Platform Cost Inputs'!$H13,O$5&gt;'Platform Cost Inputs'!$H13),(('Platform Cost Inputs'!$H13-N$5)*'Platform Cost Inputs'!$J13),0))/Million</f>
        <v>0.05</v>
      </c>
      <c r="O30" s="7">
        <f>(IF('Cost Calcs'!O$5&gt;='Platform Cost Inputs'!$H13,'Platform Cost Inputs'!$J13,0)+IF(AND(O$5&lt;'Platform Cost Inputs'!$H13,P$5&gt;'Platform Cost Inputs'!$H13),(('Platform Cost Inputs'!$H13-O$5)*'Platform Cost Inputs'!$J13),0))/Million</f>
        <v>0.05</v>
      </c>
      <c r="P30" s="7">
        <f>(IF('Cost Calcs'!P$5&gt;='Platform Cost Inputs'!$H13,'Platform Cost Inputs'!$J13,0)+IF(AND(P$5&lt;'Platform Cost Inputs'!$H13,Q$5&gt;'Platform Cost Inputs'!$H13),(('Platform Cost Inputs'!$H13-P$5)*'Platform Cost Inputs'!$J13),0))/Million</f>
        <v>0.05</v>
      </c>
      <c r="Q30" s="7">
        <f>(IF('Cost Calcs'!Q$5&gt;='Platform Cost Inputs'!$H13,'Platform Cost Inputs'!$J13,0)+IF(AND(Q$5&lt;'Platform Cost Inputs'!$H13,R$5&gt;'Platform Cost Inputs'!$H13),(('Platform Cost Inputs'!$H13-Q$5)*'Platform Cost Inputs'!$J13),0))/Million</f>
        <v>0.05</v>
      </c>
      <c r="R30" s="7">
        <f>(IF('Cost Calcs'!R$5&gt;='Platform Cost Inputs'!$H13,'Platform Cost Inputs'!$J13,0)+IF(AND(R$5&lt;'Platform Cost Inputs'!$H13,S$5&gt;'Platform Cost Inputs'!$H13),(('Platform Cost Inputs'!$H13-R$5)*'Platform Cost Inputs'!$J13),0))/Million</f>
        <v>0.05</v>
      </c>
      <c r="S30" s="7">
        <f>(IF('Cost Calcs'!S$5&gt;='Platform Cost Inputs'!$H13,'Platform Cost Inputs'!$J13,0)+IF(AND(S$5&lt;'Platform Cost Inputs'!$H13,T$5&gt;'Platform Cost Inputs'!$H13),(('Platform Cost Inputs'!$H13-S$5)*'Platform Cost Inputs'!$J13),0))/Million</f>
        <v>0.05</v>
      </c>
      <c r="T30" s="7">
        <f>(IF('Cost Calcs'!T$5&gt;='Platform Cost Inputs'!$H13,'Platform Cost Inputs'!$J13,0)+IF(AND(T$5&lt;'Platform Cost Inputs'!$H13,U$5&gt;'Platform Cost Inputs'!$H13),(('Platform Cost Inputs'!$H13-T$5)*'Platform Cost Inputs'!$J13),0))/Million</f>
        <v>0.05</v>
      </c>
      <c r="U30" s="7">
        <f>(IF('Cost Calcs'!U$5&gt;='Platform Cost Inputs'!$H13,'Platform Cost Inputs'!$J13,0)+IF(AND(U$5&lt;'Platform Cost Inputs'!$H13,V$5&gt;'Platform Cost Inputs'!$H13),(('Platform Cost Inputs'!$H13-U$5)*'Platform Cost Inputs'!$J13),0))/Million</f>
        <v>0.05</v>
      </c>
      <c r="V30" s="7">
        <f>(IF('Cost Calcs'!V$5&gt;='Platform Cost Inputs'!$H13,'Platform Cost Inputs'!$J13,0)+IF(AND(V$5&lt;'Platform Cost Inputs'!$H13,W$5&gt;'Platform Cost Inputs'!$H13),(('Platform Cost Inputs'!$H13-V$5)*'Platform Cost Inputs'!$J13),0))/Million</f>
        <v>0.05</v>
      </c>
      <c r="W30" s="7">
        <f>(IF('Cost Calcs'!W$5&gt;='Platform Cost Inputs'!$H13,'Platform Cost Inputs'!$J13,0)+IF(AND(W$5&lt;'Platform Cost Inputs'!$H13,X$5&gt;'Platform Cost Inputs'!$H13),(('Platform Cost Inputs'!$H13-W$5)*'Platform Cost Inputs'!$J13),0))/Million</f>
        <v>0.05</v>
      </c>
      <c r="X30" s="7">
        <f>(IF('Cost Calcs'!X$5&gt;='Platform Cost Inputs'!$H13,'Platform Cost Inputs'!$J13,0)+IF(AND(X$5&lt;'Platform Cost Inputs'!$H13,Y$5&gt;'Platform Cost Inputs'!$H13),(('Platform Cost Inputs'!$H13-X$5)*'Platform Cost Inputs'!$J13),0))/Million</f>
        <v>0.05</v>
      </c>
      <c r="Y30" s="7">
        <f>(IF('Cost Calcs'!Y$5&gt;='Platform Cost Inputs'!$H13,'Platform Cost Inputs'!$J13,0)+IF(AND(Y$5&lt;'Platform Cost Inputs'!$H13,Z$5&gt;'Platform Cost Inputs'!$H13),(('Platform Cost Inputs'!$H13-Y$5)*'Platform Cost Inputs'!$J13),0))/Million</f>
        <v>0.05</v>
      </c>
      <c r="Z30" s="7">
        <f>(IF('Cost Calcs'!Z$5&gt;='Platform Cost Inputs'!$H13,'Platform Cost Inputs'!$J13,0)+IF(AND(Z$5&lt;'Platform Cost Inputs'!$H13,AA$5&gt;'Platform Cost Inputs'!$H13),(('Platform Cost Inputs'!$H13-Z$5)*'Platform Cost Inputs'!$J13),0))/Million</f>
        <v>0.05</v>
      </c>
    </row>
    <row r="31" spans="1:26" ht="15.75" x14ac:dyDescent="0.25">
      <c r="A31" s="56" t="str">
        <f t="shared" si="25"/>
        <v>LV Model Extension</v>
      </c>
      <c r="B31" t="s">
        <v>7</v>
      </c>
      <c r="C31" s="3" t="s">
        <v>9</v>
      </c>
      <c r="D31" s="24">
        <f t="shared" si="24"/>
        <v>0</v>
      </c>
      <c r="E31" s="59">
        <f t="shared" si="18"/>
        <v>0</v>
      </c>
      <c r="F31" s="59"/>
      <c r="G31" s="7">
        <f>(IF('Cost Calcs'!G$5&gt;='Platform Cost Inputs'!$H14,'Platform Cost Inputs'!$J14,0)+IF(AND(G$5&lt;'Platform Cost Inputs'!$H14,H$5&gt;'Platform Cost Inputs'!$H14),(('Platform Cost Inputs'!$H14-G$5)*'Platform Cost Inputs'!$J14),0))/Million</f>
        <v>0</v>
      </c>
      <c r="H31" s="7">
        <f>(IF('Cost Calcs'!H$5&gt;='Platform Cost Inputs'!$H14,'Platform Cost Inputs'!$J14,0)+IF(AND(H$5&lt;'Platform Cost Inputs'!$H14,I$5&gt;'Platform Cost Inputs'!$H14),(('Platform Cost Inputs'!$H14-H$5)*'Platform Cost Inputs'!$J14),0))/Million</f>
        <v>0</v>
      </c>
      <c r="I31" s="7">
        <f>(IF('Cost Calcs'!I$5&gt;='Platform Cost Inputs'!$H14,'Platform Cost Inputs'!$J14,0)+IF(AND(I$5&lt;'Platform Cost Inputs'!$H14,J$5&gt;'Platform Cost Inputs'!$H14),(('Platform Cost Inputs'!$H14-I$5)*'Platform Cost Inputs'!$J14),0))/Million</f>
        <v>0</v>
      </c>
      <c r="J31" s="7">
        <f>(IF('Cost Calcs'!J$5&gt;='Platform Cost Inputs'!$H14,'Platform Cost Inputs'!$J14,0)+IF(AND(J$5&lt;'Platform Cost Inputs'!$H14,K$5&gt;'Platform Cost Inputs'!$H14),(('Platform Cost Inputs'!$H14-J$5)*'Platform Cost Inputs'!$J14),0))/Million</f>
        <v>0</v>
      </c>
      <c r="K31" s="7">
        <f>(IF('Cost Calcs'!K$5&gt;='Platform Cost Inputs'!$H14,'Platform Cost Inputs'!$J14,0)+IF(AND(K$5&lt;'Platform Cost Inputs'!$H14,L$5&gt;'Platform Cost Inputs'!$H14),(('Platform Cost Inputs'!$H14-K$5)*'Platform Cost Inputs'!$J14),0))/Million</f>
        <v>0</v>
      </c>
      <c r="L31" s="7">
        <f>(IF('Cost Calcs'!L$5&gt;='Platform Cost Inputs'!$H14,'Platform Cost Inputs'!$J14,0)+IF(AND(L$5&lt;'Platform Cost Inputs'!$H14,M$5&gt;'Platform Cost Inputs'!$H14),(('Platform Cost Inputs'!$H14-L$5)*'Platform Cost Inputs'!$J14),0))/Million</f>
        <v>0</v>
      </c>
      <c r="M31" s="7">
        <f>(IF('Cost Calcs'!M$5&gt;='Platform Cost Inputs'!$H14,'Platform Cost Inputs'!$J14,0)+IF(AND(M$5&lt;'Platform Cost Inputs'!$H14,N$5&gt;'Platform Cost Inputs'!$H14),(('Platform Cost Inputs'!$H14-M$5)*'Platform Cost Inputs'!$J14),0))/Million</f>
        <v>0</v>
      </c>
      <c r="N31" s="7">
        <f>(IF('Cost Calcs'!N$5&gt;='Platform Cost Inputs'!$H14,'Platform Cost Inputs'!$J14,0)+IF(AND(N$5&lt;'Platform Cost Inputs'!$H14,O$5&gt;'Platform Cost Inputs'!$H14),(('Platform Cost Inputs'!$H14-N$5)*'Platform Cost Inputs'!$J14),0))/Million</f>
        <v>0</v>
      </c>
      <c r="O31" s="7">
        <f>(IF('Cost Calcs'!O$5&gt;='Platform Cost Inputs'!$H14,'Platform Cost Inputs'!$J14,0)+IF(AND(O$5&lt;'Platform Cost Inputs'!$H14,P$5&gt;'Platform Cost Inputs'!$H14),(('Platform Cost Inputs'!$H14-O$5)*'Platform Cost Inputs'!$J14),0))/Million</f>
        <v>0</v>
      </c>
      <c r="P31" s="7">
        <f>(IF('Cost Calcs'!P$5&gt;='Platform Cost Inputs'!$H14,'Platform Cost Inputs'!$J14,0)+IF(AND(P$5&lt;'Platform Cost Inputs'!$H14,Q$5&gt;'Platform Cost Inputs'!$H14),(('Platform Cost Inputs'!$H14-P$5)*'Platform Cost Inputs'!$J14),0))/Million</f>
        <v>0</v>
      </c>
      <c r="Q31" s="7">
        <f>(IF('Cost Calcs'!Q$5&gt;='Platform Cost Inputs'!$H14,'Platform Cost Inputs'!$J14,0)+IF(AND(Q$5&lt;'Platform Cost Inputs'!$H14,R$5&gt;'Platform Cost Inputs'!$H14),(('Platform Cost Inputs'!$H14-Q$5)*'Platform Cost Inputs'!$J14),0))/Million</f>
        <v>0</v>
      </c>
      <c r="R31" s="7">
        <f>(IF('Cost Calcs'!R$5&gt;='Platform Cost Inputs'!$H14,'Platform Cost Inputs'!$J14,0)+IF(AND(R$5&lt;'Platform Cost Inputs'!$H14,S$5&gt;'Platform Cost Inputs'!$H14),(('Platform Cost Inputs'!$H14-R$5)*'Platform Cost Inputs'!$J14),0))/Million</f>
        <v>0</v>
      </c>
      <c r="S31" s="7">
        <f>(IF('Cost Calcs'!S$5&gt;='Platform Cost Inputs'!$H14,'Platform Cost Inputs'!$J14,0)+IF(AND(S$5&lt;'Platform Cost Inputs'!$H14,T$5&gt;'Platform Cost Inputs'!$H14),(('Platform Cost Inputs'!$H14-S$5)*'Platform Cost Inputs'!$J14),0))/Million</f>
        <v>0</v>
      </c>
      <c r="T31" s="7">
        <f>(IF('Cost Calcs'!T$5&gt;='Platform Cost Inputs'!$H14,'Platform Cost Inputs'!$J14,0)+IF(AND(T$5&lt;'Platform Cost Inputs'!$H14,U$5&gt;'Platform Cost Inputs'!$H14),(('Platform Cost Inputs'!$H14-T$5)*'Platform Cost Inputs'!$J14),0))/Million</f>
        <v>0</v>
      </c>
      <c r="U31" s="7">
        <f>(IF('Cost Calcs'!U$5&gt;='Platform Cost Inputs'!$H14,'Platform Cost Inputs'!$J14,0)+IF(AND(U$5&lt;'Platform Cost Inputs'!$H14,V$5&gt;'Platform Cost Inputs'!$H14),(('Platform Cost Inputs'!$H14-U$5)*'Platform Cost Inputs'!$J14),0))/Million</f>
        <v>0</v>
      </c>
      <c r="V31" s="7">
        <f>(IF('Cost Calcs'!V$5&gt;='Platform Cost Inputs'!$H14,'Platform Cost Inputs'!$J14,0)+IF(AND(V$5&lt;'Platform Cost Inputs'!$H14,W$5&gt;'Platform Cost Inputs'!$H14),(('Platform Cost Inputs'!$H14-V$5)*'Platform Cost Inputs'!$J14),0))/Million</f>
        <v>0</v>
      </c>
      <c r="W31" s="7">
        <f>(IF('Cost Calcs'!W$5&gt;='Platform Cost Inputs'!$H14,'Platform Cost Inputs'!$J14,0)+IF(AND(W$5&lt;'Platform Cost Inputs'!$H14,X$5&gt;'Platform Cost Inputs'!$H14),(('Platform Cost Inputs'!$H14-W$5)*'Platform Cost Inputs'!$J14),0))/Million</f>
        <v>0</v>
      </c>
      <c r="X31" s="7">
        <f>(IF('Cost Calcs'!X$5&gt;='Platform Cost Inputs'!$H14,'Platform Cost Inputs'!$J14,0)+IF(AND(X$5&lt;'Platform Cost Inputs'!$H14,Y$5&gt;'Platform Cost Inputs'!$H14),(('Platform Cost Inputs'!$H14-X$5)*'Platform Cost Inputs'!$J14),0))/Million</f>
        <v>0</v>
      </c>
      <c r="Y31" s="7">
        <f>(IF('Cost Calcs'!Y$5&gt;='Platform Cost Inputs'!$H14,'Platform Cost Inputs'!$J14,0)+IF(AND(Y$5&lt;'Platform Cost Inputs'!$H14,Z$5&gt;'Platform Cost Inputs'!$H14),(('Platform Cost Inputs'!$H14-Y$5)*'Platform Cost Inputs'!$J14),0))/Million</f>
        <v>0</v>
      </c>
      <c r="Z31" s="7">
        <f>(IF('Cost Calcs'!Z$5&gt;='Platform Cost Inputs'!$H14,'Platform Cost Inputs'!$J14,0)+IF(AND(Z$5&lt;'Platform Cost Inputs'!$H14,AA$5&gt;'Platform Cost Inputs'!$H14),(('Platform Cost Inputs'!$H14-Z$5)*'Platform Cost Inputs'!$J14),0))/Million</f>
        <v>0</v>
      </c>
    </row>
    <row r="32" spans="1:26" ht="15.75" x14ac:dyDescent="0.25">
      <c r="A32" s="56" t="str">
        <f t="shared" si="25"/>
        <v>Real Time Grid Monitoring and Control</v>
      </c>
      <c r="B32" t="s">
        <v>7</v>
      </c>
      <c r="C32" s="3" t="s">
        <v>9</v>
      </c>
      <c r="D32" s="24">
        <f t="shared" ref="D32" si="26">SUMPRODUCT(G32:Z32,G$7:Z$7)</f>
        <v>2.8325967115115023</v>
      </c>
      <c r="E32" s="59">
        <f t="shared" si="18"/>
        <v>3.78</v>
      </c>
      <c r="F32" s="59"/>
      <c r="G32" s="7">
        <f>(IF('Cost Calcs'!G$5&gt;='Platform Cost Inputs'!$H15,'Platform Cost Inputs'!$J15,0)+IF(AND(G$5&lt;'Platform Cost Inputs'!$H15,H$5&gt;'Platform Cost Inputs'!$H15),(('Platform Cost Inputs'!$H15-G$5)*'Platform Cost Inputs'!$J15),0))/Million</f>
        <v>0</v>
      </c>
      <c r="H32" s="7">
        <f>(IF('Cost Calcs'!H$5&gt;='Platform Cost Inputs'!$H15,'Platform Cost Inputs'!$J15,0)+IF(AND(H$5&lt;'Platform Cost Inputs'!$H15,I$5&gt;'Platform Cost Inputs'!$H15),(('Platform Cost Inputs'!$H15-H$5)*'Platform Cost Inputs'!$J15),0))/Million</f>
        <v>0</v>
      </c>
      <c r="I32" s="7">
        <f>(IF('Cost Calcs'!I$5&gt;='Platform Cost Inputs'!$H15,'Platform Cost Inputs'!$J15,0)+IF(AND(I$5&lt;'Platform Cost Inputs'!$H15,J$5&gt;'Platform Cost Inputs'!$H15),(('Platform Cost Inputs'!$H15-I$5)*'Platform Cost Inputs'!$J15),0))/Million</f>
        <v>0.21</v>
      </c>
      <c r="J32" s="7">
        <f>(IF('Cost Calcs'!J$5&gt;='Platform Cost Inputs'!$H15,'Platform Cost Inputs'!$J15,0)+IF(AND(J$5&lt;'Platform Cost Inputs'!$H15,K$5&gt;'Platform Cost Inputs'!$H15),(('Platform Cost Inputs'!$H15-J$5)*'Platform Cost Inputs'!$J15),0))/Million</f>
        <v>0.21</v>
      </c>
      <c r="K32" s="7">
        <f>(IF('Cost Calcs'!K$5&gt;='Platform Cost Inputs'!$H15,'Platform Cost Inputs'!$J15,0)+IF(AND(K$5&lt;'Platform Cost Inputs'!$H15,L$5&gt;'Platform Cost Inputs'!$H15),(('Platform Cost Inputs'!$H15-K$5)*'Platform Cost Inputs'!$J15),0))/Million</f>
        <v>0.21</v>
      </c>
      <c r="L32" s="7">
        <f>(IF('Cost Calcs'!L$5&gt;='Platform Cost Inputs'!$H15,'Platform Cost Inputs'!$J15,0)+IF(AND(L$5&lt;'Platform Cost Inputs'!$H15,M$5&gt;'Platform Cost Inputs'!$H15),(('Platform Cost Inputs'!$H15-L$5)*'Platform Cost Inputs'!$J15),0))/Million</f>
        <v>0.21</v>
      </c>
      <c r="M32" s="7">
        <f>(IF('Cost Calcs'!M$5&gt;='Platform Cost Inputs'!$H15,'Platform Cost Inputs'!$J15,0)+IF(AND(M$5&lt;'Platform Cost Inputs'!$H15,N$5&gt;'Platform Cost Inputs'!$H15),(('Platform Cost Inputs'!$H15-M$5)*'Platform Cost Inputs'!$J15),0))/Million</f>
        <v>0.21</v>
      </c>
      <c r="N32" s="7">
        <f>(IF('Cost Calcs'!N$5&gt;='Platform Cost Inputs'!$H15,'Platform Cost Inputs'!$J15,0)+IF(AND(N$5&lt;'Platform Cost Inputs'!$H15,O$5&gt;'Platform Cost Inputs'!$H15),(('Platform Cost Inputs'!$H15-N$5)*'Platform Cost Inputs'!$J15),0))/Million</f>
        <v>0.21</v>
      </c>
      <c r="O32" s="7">
        <f>(IF('Cost Calcs'!O$5&gt;='Platform Cost Inputs'!$H15,'Platform Cost Inputs'!$J15,0)+IF(AND(O$5&lt;'Platform Cost Inputs'!$H15,P$5&gt;'Platform Cost Inputs'!$H15),(('Platform Cost Inputs'!$H15-O$5)*'Platform Cost Inputs'!$J15),0))/Million</f>
        <v>0.21</v>
      </c>
      <c r="P32" s="7">
        <f>(IF('Cost Calcs'!P$5&gt;='Platform Cost Inputs'!$H15,'Platform Cost Inputs'!$J15,0)+IF(AND(P$5&lt;'Platform Cost Inputs'!$H15,Q$5&gt;'Platform Cost Inputs'!$H15),(('Platform Cost Inputs'!$H15-P$5)*'Platform Cost Inputs'!$J15),0))/Million</f>
        <v>0.21</v>
      </c>
      <c r="Q32" s="7">
        <f>(IF('Cost Calcs'!Q$5&gt;='Platform Cost Inputs'!$H15,'Platform Cost Inputs'!$J15,0)+IF(AND(Q$5&lt;'Platform Cost Inputs'!$H15,R$5&gt;'Platform Cost Inputs'!$H15),(('Platform Cost Inputs'!$H15-Q$5)*'Platform Cost Inputs'!$J15),0))/Million</f>
        <v>0.21</v>
      </c>
      <c r="R32" s="7">
        <f>(IF('Cost Calcs'!R$5&gt;='Platform Cost Inputs'!$H15,'Platform Cost Inputs'!$J15,0)+IF(AND(R$5&lt;'Platform Cost Inputs'!$H15,S$5&gt;'Platform Cost Inputs'!$H15),(('Platform Cost Inputs'!$H15-R$5)*'Platform Cost Inputs'!$J15),0))/Million</f>
        <v>0.21</v>
      </c>
      <c r="S32" s="7">
        <f>(IF('Cost Calcs'!S$5&gt;='Platform Cost Inputs'!$H15,'Platform Cost Inputs'!$J15,0)+IF(AND(S$5&lt;'Platform Cost Inputs'!$H15,T$5&gt;'Platform Cost Inputs'!$H15),(('Platform Cost Inputs'!$H15-S$5)*'Platform Cost Inputs'!$J15),0))/Million</f>
        <v>0.21</v>
      </c>
      <c r="T32" s="7">
        <f>(IF('Cost Calcs'!T$5&gt;='Platform Cost Inputs'!$H15,'Platform Cost Inputs'!$J15,0)+IF(AND(T$5&lt;'Platform Cost Inputs'!$H15,U$5&gt;'Platform Cost Inputs'!$H15),(('Platform Cost Inputs'!$H15-T$5)*'Platform Cost Inputs'!$J15),0))/Million</f>
        <v>0.21</v>
      </c>
      <c r="U32" s="7">
        <f>(IF('Cost Calcs'!U$5&gt;='Platform Cost Inputs'!$H15,'Platform Cost Inputs'!$J15,0)+IF(AND(U$5&lt;'Platform Cost Inputs'!$H15,V$5&gt;'Platform Cost Inputs'!$H15),(('Platform Cost Inputs'!$H15-U$5)*'Platform Cost Inputs'!$J15),0))/Million</f>
        <v>0.21</v>
      </c>
      <c r="V32" s="7">
        <f>(IF('Cost Calcs'!V$5&gt;='Platform Cost Inputs'!$H15,'Platform Cost Inputs'!$J15,0)+IF(AND(V$5&lt;'Platform Cost Inputs'!$H15,W$5&gt;'Platform Cost Inputs'!$H15),(('Platform Cost Inputs'!$H15-V$5)*'Platform Cost Inputs'!$J15),0))/Million</f>
        <v>0.21</v>
      </c>
      <c r="W32" s="7">
        <f>(IF('Cost Calcs'!W$5&gt;='Platform Cost Inputs'!$H15,'Platform Cost Inputs'!$J15,0)+IF(AND(W$5&lt;'Platform Cost Inputs'!$H15,X$5&gt;'Platform Cost Inputs'!$H15),(('Platform Cost Inputs'!$H15-W$5)*'Platform Cost Inputs'!$J15),0))/Million</f>
        <v>0.21</v>
      </c>
      <c r="X32" s="7">
        <f>(IF('Cost Calcs'!X$5&gt;='Platform Cost Inputs'!$H15,'Platform Cost Inputs'!$J15,0)+IF(AND(X$5&lt;'Platform Cost Inputs'!$H15,Y$5&gt;'Platform Cost Inputs'!$H15),(('Platform Cost Inputs'!$H15-X$5)*'Platform Cost Inputs'!$J15),0))/Million</f>
        <v>0.21</v>
      </c>
      <c r="Y32" s="7">
        <f>(IF('Cost Calcs'!Y$5&gt;='Platform Cost Inputs'!$H15,'Platform Cost Inputs'!$J15,0)+IF(AND(Y$5&lt;'Platform Cost Inputs'!$H15,Z$5&gt;'Platform Cost Inputs'!$H15),(('Platform Cost Inputs'!$H15-Y$5)*'Platform Cost Inputs'!$J15),0))/Million</f>
        <v>0.21</v>
      </c>
      <c r="Z32" s="7">
        <f>(IF('Cost Calcs'!Z$5&gt;='Platform Cost Inputs'!$H15,'Platform Cost Inputs'!$J15,0)+IF(AND(Z$5&lt;'Platform Cost Inputs'!$H15,AA$5&gt;'Platform Cost Inputs'!$H15),(('Platform Cost Inputs'!$H15-Z$5)*'Platform Cost Inputs'!$J15),0))/Million</f>
        <v>0.21</v>
      </c>
    </row>
    <row r="33" spans="1:26" ht="15.75" x14ac:dyDescent="0.25">
      <c r="A33" s="56" t="str">
        <f t="shared" si="25"/>
        <v>LV Management Capability</v>
      </c>
      <c r="B33" t="s">
        <v>7</v>
      </c>
      <c r="C33" s="3" t="s">
        <v>9</v>
      </c>
      <c r="D33" s="24">
        <f t="shared" ref="D33:D36" si="27">SUMPRODUCT(G33:Z33,G$7:Z$7)</f>
        <v>0.92900552177014095</v>
      </c>
      <c r="E33" s="59">
        <f t="shared" si="18"/>
        <v>1.258</v>
      </c>
      <c r="F33" s="59"/>
      <c r="G33" s="7">
        <f>(IF('Cost Calcs'!G$5&gt;='Platform Cost Inputs'!$H17,'Platform Cost Inputs'!$J17,0)+IF(AND(G$5&lt;'Platform Cost Inputs'!$H17,H$5&gt;'Platform Cost Inputs'!$H17),(('Platform Cost Inputs'!$H17-G$5)*'Platform Cost Inputs'!$J17),0))/Million</f>
        <v>0</v>
      </c>
      <c r="H33" s="7">
        <f>(IF('Cost Calcs'!H$5&gt;='Platform Cost Inputs'!$H17,'Platform Cost Inputs'!$J17,0)+IF(AND(H$5&lt;'Platform Cost Inputs'!$H17,I$5&gt;'Platform Cost Inputs'!$H17),(('Platform Cost Inputs'!$H17-H$5)*'Platform Cost Inputs'!$J17),0))/Million</f>
        <v>0</v>
      </c>
      <c r="I33" s="7">
        <f>(IF('Cost Calcs'!I$5&gt;='Platform Cost Inputs'!$H17,'Platform Cost Inputs'!$J17,0)+IF(AND(I$5&lt;'Platform Cost Inputs'!$H17,J$5&gt;'Platform Cost Inputs'!$H17),(('Platform Cost Inputs'!$H17-I$5)*'Platform Cost Inputs'!$J17),0))/Million</f>
        <v>0</v>
      </c>
      <c r="J33" s="7">
        <f>(IF('Cost Calcs'!J$5&gt;='Platform Cost Inputs'!$H17,'Platform Cost Inputs'!$J17,0)+IF(AND(J$5&lt;'Platform Cost Inputs'!$H17,K$5&gt;'Platform Cost Inputs'!$H17),(('Platform Cost Inputs'!$H17-J$5)*'Platform Cost Inputs'!$J17),0))/Million</f>
        <v>7.3999999999999996E-2</v>
      </c>
      <c r="K33" s="7">
        <f>(IF('Cost Calcs'!K$5&gt;='Platform Cost Inputs'!$H17,'Platform Cost Inputs'!$J17,0)+IF(AND(K$5&lt;'Platform Cost Inputs'!$H17,L$5&gt;'Platform Cost Inputs'!$H17),(('Platform Cost Inputs'!$H17-K$5)*'Platform Cost Inputs'!$J17),0))/Million</f>
        <v>7.3999999999999996E-2</v>
      </c>
      <c r="L33" s="7">
        <f>(IF('Cost Calcs'!L$5&gt;='Platform Cost Inputs'!$H17,'Platform Cost Inputs'!$J17,0)+IF(AND(L$5&lt;'Platform Cost Inputs'!$H17,M$5&gt;'Platform Cost Inputs'!$H17),(('Platform Cost Inputs'!$H17-L$5)*'Platform Cost Inputs'!$J17),0))/Million</f>
        <v>7.3999999999999996E-2</v>
      </c>
      <c r="M33" s="7">
        <f>(IF('Cost Calcs'!M$5&gt;='Platform Cost Inputs'!$H17,'Platform Cost Inputs'!$J17,0)+IF(AND(M$5&lt;'Platform Cost Inputs'!$H17,N$5&gt;'Platform Cost Inputs'!$H17),(('Platform Cost Inputs'!$H17-M$5)*'Platform Cost Inputs'!$J17),0))/Million</f>
        <v>7.3999999999999996E-2</v>
      </c>
      <c r="N33" s="7">
        <f>(IF('Cost Calcs'!N$5&gt;='Platform Cost Inputs'!$H17,'Platform Cost Inputs'!$J17,0)+IF(AND(N$5&lt;'Platform Cost Inputs'!$H17,O$5&gt;'Platform Cost Inputs'!$H17),(('Platform Cost Inputs'!$H17-N$5)*'Platform Cost Inputs'!$J17),0))/Million</f>
        <v>7.3999999999999996E-2</v>
      </c>
      <c r="O33" s="7">
        <f>(IF('Cost Calcs'!O$5&gt;='Platform Cost Inputs'!$H17,'Platform Cost Inputs'!$J17,0)+IF(AND(O$5&lt;'Platform Cost Inputs'!$H17,P$5&gt;'Platform Cost Inputs'!$H17),(('Platform Cost Inputs'!$H17-O$5)*'Platform Cost Inputs'!$J17),0))/Million</f>
        <v>7.3999999999999996E-2</v>
      </c>
      <c r="P33" s="7">
        <f>(IF('Cost Calcs'!P$5&gt;='Platform Cost Inputs'!$H17,'Platform Cost Inputs'!$J17,0)+IF(AND(P$5&lt;'Platform Cost Inputs'!$H17,Q$5&gt;'Platform Cost Inputs'!$H17),(('Platform Cost Inputs'!$H17-P$5)*'Platform Cost Inputs'!$J17),0))/Million</f>
        <v>7.3999999999999996E-2</v>
      </c>
      <c r="Q33" s="7">
        <f>(IF('Cost Calcs'!Q$5&gt;='Platform Cost Inputs'!$H17,'Platform Cost Inputs'!$J17,0)+IF(AND(Q$5&lt;'Platform Cost Inputs'!$H17,R$5&gt;'Platform Cost Inputs'!$H17),(('Platform Cost Inputs'!$H17-Q$5)*'Platform Cost Inputs'!$J17),0))/Million</f>
        <v>7.3999999999999996E-2</v>
      </c>
      <c r="R33" s="7">
        <f>(IF('Cost Calcs'!R$5&gt;='Platform Cost Inputs'!$H17,'Platform Cost Inputs'!$J17,0)+IF(AND(R$5&lt;'Platform Cost Inputs'!$H17,S$5&gt;'Platform Cost Inputs'!$H17),(('Platform Cost Inputs'!$H17-R$5)*'Platform Cost Inputs'!$J17),0))/Million</f>
        <v>7.3999999999999996E-2</v>
      </c>
      <c r="S33" s="7">
        <f>(IF('Cost Calcs'!S$5&gt;='Platform Cost Inputs'!$H17,'Platform Cost Inputs'!$J17,0)+IF(AND(S$5&lt;'Platform Cost Inputs'!$H17,T$5&gt;'Platform Cost Inputs'!$H17),(('Platform Cost Inputs'!$H17-S$5)*'Platform Cost Inputs'!$J17),0))/Million</f>
        <v>7.3999999999999996E-2</v>
      </c>
      <c r="T33" s="7">
        <f>(IF('Cost Calcs'!T$5&gt;='Platform Cost Inputs'!$H17,'Platform Cost Inputs'!$J17,0)+IF(AND(T$5&lt;'Platform Cost Inputs'!$H17,U$5&gt;'Platform Cost Inputs'!$H17),(('Platform Cost Inputs'!$H17-T$5)*'Platform Cost Inputs'!$J17),0))/Million</f>
        <v>7.3999999999999996E-2</v>
      </c>
      <c r="U33" s="7">
        <f>(IF('Cost Calcs'!U$5&gt;='Platform Cost Inputs'!$H17,'Platform Cost Inputs'!$J17,0)+IF(AND(U$5&lt;'Platform Cost Inputs'!$H17,V$5&gt;'Platform Cost Inputs'!$H17),(('Platform Cost Inputs'!$H17-U$5)*'Platform Cost Inputs'!$J17),0))/Million</f>
        <v>7.3999999999999996E-2</v>
      </c>
      <c r="V33" s="7">
        <f>(IF('Cost Calcs'!V$5&gt;='Platform Cost Inputs'!$H17,'Platform Cost Inputs'!$J17,0)+IF(AND(V$5&lt;'Platform Cost Inputs'!$H17,W$5&gt;'Platform Cost Inputs'!$H17),(('Platform Cost Inputs'!$H17-V$5)*'Platform Cost Inputs'!$J17),0))/Million</f>
        <v>7.3999999999999996E-2</v>
      </c>
      <c r="W33" s="7">
        <f>(IF('Cost Calcs'!W$5&gt;='Platform Cost Inputs'!$H17,'Platform Cost Inputs'!$J17,0)+IF(AND(W$5&lt;'Platform Cost Inputs'!$H17,X$5&gt;'Platform Cost Inputs'!$H17),(('Platform Cost Inputs'!$H17-W$5)*'Platform Cost Inputs'!$J17),0))/Million</f>
        <v>7.3999999999999996E-2</v>
      </c>
      <c r="X33" s="7">
        <f>(IF('Cost Calcs'!X$5&gt;='Platform Cost Inputs'!$H17,'Platform Cost Inputs'!$J17,0)+IF(AND(X$5&lt;'Platform Cost Inputs'!$H17,Y$5&gt;'Platform Cost Inputs'!$H17),(('Platform Cost Inputs'!$H17-X$5)*'Platform Cost Inputs'!$J17),0))/Million</f>
        <v>7.3999999999999996E-2</v>
      </c>
      <c r="Y33" s="7">
        <f>(IF('Cost Calcs'!Y$5&gt;='Platform Cost Inputs'!$H17,'Platform Cost Inputs'!$J17,0)+IF(AND(Y$5&lt;'Platform Cost Inputs'!$H17,Z$5&gt;'Platform Cost Inputs'!$H17),(('Platform Cost Inputs'!$H17-Y$5)*'Platform Cost Inputs'!$J17),0))/Million</f>
        <v>7.3999999999999996E-2</v>
      </c>
      <c r="Z33" s="7">
        <f>(IF('Cost Calcs'!Z$5&gt;='Platform Cost Inputs'!$H17,'Platform Cost Inputs'!$J17,0)+IF(AND(Z$5&lt;'Platform Cost Inputs'!$H17,AA$5&gt;'Platform Cost Inputs'!$H17),(('Platform Cost Inputs'!$H17-Z$5)*'Platform Cost Inputs'!$J17),0))/Million</f>
        <v>7.3999999999999996E-2</v>
      </c>
    </row>
    <row r="34" spans="1:26" ht="15.75" x14ac:dyDescent="0.25">
      <c r="A34" s="56" t="str">
        <f t="shared" si="25"/>
        <v xml:space="preserve">Dynamic Forecasting Capacity </v>
      </c>
      <c r="B34" t="s">
        <v>7</v>
      </c>
      <c r="C34" s="3" t="s">
        <v>9</v>
      </c>
      <c r="D34" s="24">
        <f t="shared" si="27"/>
        <v>0</v>
      </c>
      <c r="E34" s="59">
        <f t="shared" si="18"/>
        <v>0</v>
      </c>
      <c r="F34" s="59"/>
      <c r="G34" s="7">
        <f>(IF('Cost Calcs'!G$5&gt;='Platform Cost Inputs'!$H18,'Platform Cost Inputs'!$J18,0)+IF(AND(G$5&lt;'Platform Cost Inputs'!$H18,H$5&gt;'Platform Cost Inputs'!$H18),(('Platform Cost Inputs'!$H18-G$5)*'Platform Cost Inputs'!$J18),0))/Million</f>
        <v>0</v>
      </c>
      <c r="H34" s="7">
        <f>(IF('Cost Calcs'!H$5&gt;='Platform Cost Inputs'!$H18,'Platform Cost Inputs'!$J18,0)+IF(AND(H$5&lt;'Platform Cost Inputs'!$H18,I$5&gt;'Platform Cost Inputs'!$H18),(('Platform Cost Inputs'!$H18-H$5)*'Platform Cost Inputs'!$J18),0))/Million</f>
        <v>0</v>
      </c>
      <c r="I34" s="7">
        <f>(IF('Cost Calcs'!I$5&gt;='Platform Cost Inputs'!$H18,'Platform Cost Inputs'!$J18,0)+IF(AND(I$5&lt;'Platform Cost Inputs'!$H18,J$5&gt;'Platform Cost Inputs'!$H18),(('Platform Cost Inputs'!$H18-I$5)*'Platform Cost Inputs'!$J18),0))/Million</f>
        <v>0</v>
      </c>
      <c r="J34" s="7">
        <f>(IF('Cost Calcs'!J$5&gt;='Platform Cost Inputs'!$H18,'Platform Cost Inputs'!$J18,0)+IF(AND(J$5&lt;'Platform Cost Inputs'!$H18,K$5&gt;'Platform Cost Inputs'!$H18),(('Platform Cost Inputs'!$H18-J$5)*'Platform Cost Inputs'!$J18),0))/Million</f>
        <v>0</v>
      </c>
      <c r="K34" s="7">
        <f>(IF('Cost Calcs'!K$5&gt;='Platform Cost Inputs'!$H18,'Platform Cost Inputs'!$J18,0)+IF(AND(K$5&lt;'Platform Cost Inputs'!$H18,L$5&gt;'Platform Cost Inputs'!$H18),(('Platform Cost Inputs'!$H18-K$5)*'Platform Cost Inputs'!$J18),0))/Million</f>
        <v>0</v>
      </c>
      <c r="L34" s="7">
        <f>(IF('Cost Calcs'!L$5&gt;='Platform Cost Inputs'!$H18,'Platform Cost Inputs'!$J18,0)+IF(AND(L$5&lt;'Platform Cost Inputs'!$H18,M$5&gt;'Platform Cost Inputs'!$H18),(('Platform Cost Inputs'!$H18-L$5)*'Platform Cost Inputs'!$J18),0))/Million</f>
        <v>0</v>
      </c>
      <c r="M34" s="7">
        <f>(IF('Cost Calcs'!M$5&gt;='Platform Cost Inputs'!$H18,'Platform Cost Inputs'!$J18,0)+IF(AND(M$5&lt;'Platform Cost Inputs'!$H18,N$5&gt;'Platform Cost Inputs'!$H18),(('Platform Cost Inputs'!$H18-M$5)*'Platform Cost Inputs'!$J18),0))/Million</f>
        <v>0</v>
      </c>
      <c r="N34" s="7">
        <f>(IF('Cost Calcs'!N$5&gt;='Platform Cost Inputs'!$H18,'Platform Cost Inputs'!$J18,0)+IF(AND(N$5&lt;'Platform Cost Inputs'!$H18,O$5&gt;'Platform Cost Inputs'!$H18),(('Platform Cost Inputs'!$H18-N$5)*'Platform Cost Inputs'!$J18),0))/Million</f>
        <v>0</v>
      </c>
      <c r="O34" s="7">
        <f>(IF('Cost Calcs'!O$5&gt;='Platform Cost Inputs'!$H18,'Platform Cost Inputs'!$J18,0)+IF(AND(O$5&lt;'Platform Cost Inputs'!$H18,P$5&gt;'Platform Cost Inputs'!$H18),(('Platform Cost Inputs'!$H18-O$5)*'Platform Cost Inputs'!$J18),0))/Million</f>
        <v>0</v>
      </c>
      <c r="P34" s="7">
        <f>(IF('Cost Calcs'!P$5&gt;='Platform Cost Inputs'!$H18,'Platform Cost Inputs'!$J18,0)+IF(AND(P$5&lt;'Platform Cost Inputs'!$H18,Q$5&gt;'Platform Cost Inputs'!$H18),(('Platform Cost Inputs'!$H18-P$5)*'Platform Cost Inputs'!$J18),0))/Million</f>
        <v>0</v>
      </c>
      <c r="Q34" s="7">
        <f>(IF('Cost Calcs'!Q$5&gt;='Platform Cost Inputs'!$H18,'Platform Cost Inputs'!$J18,0)+IF(AND(Q$5&lt;'Platform Cost Inputs'!$H18,R$5&gt;'Platform Cost Inputs'!$H18),(('Platform Cost Inputs'!$H18-Q$5)*'Platform Cost Inputs'!$J18),0))/Million</f>
        <v>0</v>
      </c>
      <c r="R34" s="7">
        <f>(IF('Cost Calcs'!R$5&gt;='Platform Cost Inputs'!$H18,'Platform Cost Inputs'!$J18,0)+IF(AND(R$5&lt;'Platform Cost Inputs'!$H18,S$5&gt;'Platform Cost Inputs'!$H18),(('Platform Cost Inputs'!$H18-R$5)*'Platform Cost Inputs'!$J18),0))/Million</f>
        <v>0</v>
      </c>
      <c r="S34" s="7">
        <f>(IF('Cost Calcs'!S$5&gt;='Platform Cost Inputs'!$H18,'Platform Cost Inputs'!$J18,0)+IF(AND(S$5&lt;'Platform Cost Inputs'!$H18,T$5&gt;'Platform Cost Inputs'!$H18),(('Platform Cost Inputs'!$H18-S$5)*'Platform Cost Inputs'!$J18),0))/Million</f>
        <v>0</v>
      </c>
      <c r="T34" s="7">
        <f>(IF('Cost Calcs'!T$5&gt;='Platform Cost Inputs'!$H18,'Platform Cost Inputs'!$J18,0)+IF(AND(T$5&lt;'Platform Cost Inputs'!$H18,U$5&gt;'Platform Cost Inputs'!$H18),(('Platform Cost Inputs'!$H18-T$5)*'Platform Cost Inputs'!$J18),0))/Million</f>
        <v>0</v>
      </c>
      <c r="U34" s="7">
        <f>(IF('Cost Calcs'!U$5&gt;='Platform Cost Inputs'!$H18,'Platform Cost Inputs'!$J18,0)+IF(AND(U$5&lt;'Platform Cost Inputs'!$H18,V$5&gt;'Platform Cost Inputs'!$H18),(('Platform Cost Inputs'!$H18-U$5)*'Platform Cost Inputs'!$J18),0))/Million</f>
        <v>0</v>
      </c>
      <c r="V34" s="7">
        <f>(IF('Cost Calcs'!V$5&gt;='Platform Cost Inputs'!$H18,'Platform Cost Inputs'!$J18,0)+IF(AND(V$5&lt;'Platform Cost Inputs'!$H18,W$5&gt;'Platform Cost Inputs'!$H18),(('Platform Cost Inputs'!$H18-V$5)*'Platform Cost Inputs'!$J18),0))/Million</f>
        <v>0</v>
      </c>
      <c r="W34" s="7">
        <f>(IF('Cost Calcs'!W$5&gt;='Platform Cost Inputs'!$H18,'Platform Cost Inputs'!$J18,0)+IF(AND(W$5&lt;'Platform Cost Inputs'!$H18,X$5&gt;'Platform Cost Inputs'!$H18),(('Platform Cost Inputs'!$H18-W$5)*'Platform Cost Inputs'!$J18),0))/Million</f>
        <v>0</v>
      </c>
      <c r="X34" s="7">
        <f>(IF('Cost Calcs'!X$5&gt;='Platform Cost Inputs'!$H18,'Platform Cost Inputs'!$J18,0)+IF(AND(X$5&lt;'Platform Cost Inputs'!$H18,Y$5&gt;'Platform Cost Inputs'!$H18),(('Platform Cost Inputs'!$H18-X$5)*'Platform Cost Inputs'!$J18),0))/Million</f>
        <v>0</v>
      </c>
      <c r="Y34" s="7">
        <f>(IF('Cost Calcs'!Y$5&gt;='Platform Cost Inputs'!$H18,'Platform Cost Inputs'!$J18,0)+IF(AND(Y$5&lt;'Platform Cost Inputs'!$H18,Z$5&gt;'Platform Cost Inputs'!$H18),(('Platform Cost Inputs'!$H18-Y$5)*'Platform Cost Inputs'!$J18),0))/Million</f>
        <v>0</v>
      </c>
      <c r="Z34" s="7">
        <f>(IF('Cost Calcs'!Z$5&gt;='Platform Cost Inputs'!$H18,'Platform Cost Inputs'!$J18,0)+IF(AND(Z$5&lt;'Platform Cost Inputs'!$H18,AA$5&gt;'Platform Cost Inputs'!$H18),(('Platform Cost Inputs'!$H18-Z$5)*'Platform Cost Inputs'!$J18),0))/Million</f>
        <v>0</v>
      </c>
    </row>
    <row r="35" spans="1:26" ht="15.75" x14ac:dyDescent="0.25">
      <c r="A35" s="56" t="str">
        <f t="shared" si="25"/>
        <v xml:space="preserve">DER - Monitoring Capability </v>
      </c>
      <c r="B35" t="s">
        <v>7</v>
      </c>
      <c r="C35" s="3" t="s">
        <v>9</v>
      </c>
      <c r="D35" s="24">
        <f t="shared" si="27"/>
        <v>0.92900552177014095</v>
      </c>
      <c r="E35" s="59">
        <f t="shared" si="18"/>
        <v>1.258</v>
      </c>
      <c r="F35" s="59"/>
      <c r="G35" s="7">
        <f>(IF('Cost Calcs'!G$5&gt;='Platform Cost Inputs'!$H20,'Platform Cost Inputs'!$J20,0)+IF(AND(G$5&lt;'Platform Cost Inputs'!$H20,H$5&gt;'Platform Cost Inputs'!$H20),(('Platform Cost Inputs'!$H20-G$5)*'Platform Cost Inputs'!$J20),0))/Million</f>
        <v>0</v>
      </c>
      <c r="H35" s="7">
        <f>(IF('Cost Calcs'!H$5&gt;='Platform Cost Inputs'!$H20,'Platform Cost Inputs'!$J20,0)+IF(AND(H$5&lt;'Platform Cost Inputs'!$H20,I$5&gt;'Platform Cost Inputs'!$H20),(('Platform Cost Inputs'!$H20-H$5)*'Platform Cost Inputs'!$J20),0))/Million</f>
        <v>0</v>
      </c>
      <c r="I35" s="7">
        <f>(IF('Cost Calcs'!I$5&gt;='Platform Cost Inputs'!$H20,'Platform Cost Inputs'!$J20,0)+IF(AND(I$5&lt;'Platform Cost Inputs'!$H20,J$5&gt;'Platform Cost Inputs'!$H20),(('Platform Cost Inputs'!$H20-I$5)*'Platform Cost Inputs'!$J20),0))/Million</f>
        <v>0</v>
      </c>
      <c r="J35" s="7">
        <f>(IF('Cost Calcs'!J$5&gt;='Platform Cost Inputs'!$H20,'Platform Cost Inputs'!$J20,0)+IF(AND(J$5&lt;'Platform Cost Inputs'!$H20,K$5&gt;'Platform Cost Inputs'!$H20),(('Platform Cost Inputs'!$H20-J$5)*'Platform Cost Inputs'!$J20),0))/Million</f>
        <v>7.3999999999999996E-2</v>
      </c>
      <c r="K35" s="7">
        <f>(IF('Cost Calcs'!K$5&gt;='Platform Cost Inputs'!$H20,'Platform Cost Inputs'!$J20,0)+IF(AND(K$5&lt;'Platform Cost Inputs'!$H20,L$5&gt;'Platform Cost Inputs'!$H20),(('Platform Cost Inputs'!$H20-K$5)*'Platform Cost Inputs'!$J20),0))/Million</f>
        <v>7.3999999999999996E-2</v>
      </c>
      <c r="L35" s="7">
        <f>(IF('Cost Calcs'!L$5&gt;='Platform Cost Inputs'!$H20,'Platform Cost Inputs'!$J20,0)+IF(AND(L$5&lt;'Platform Cost Inputs'!$H20,M$5&gt;'Platform Cost Inputs'!$H20),(('Platform Cost Inputs'!$H20-L$5)*'Platform Cost Inputs'!$J20),0))/Million</f>
        <v>7.3999999999999996E-2</v>
      </c>
      <c r="M35" s="7">
        <f>(IF('Cost Calcs'!M$5&gt;='Platform Cost Inputs'!$H20,'Platform Cost Inputs'!$J20,0)+IF(AND(M$5&lt;'Platform Cost Inputs'!$H20,N$5&gt;'Platform Cost Inputs'!$H20),(('Platform Cost Inputs'!$H20-M$5)*'Platform Cost Inputs'!$J20),0))/Million</f>
        <v>7.3999999999999996E-2</v>
      </c>
      <c r="N35" s="7">
        <f>(IF('Cost Calcs'!N$5&gt;='Platform Cost Inputs'!$H20,'Platform Cost Inputs'!$J20,0)+IF(AND(N$5&lt;'Platform Cost Inputs'!$H20,O$5&gt;'Platform Cost Inputs'!$H20),(('Platform Cost Inputs'!$H20-N$5)*'Platform Cost Inputs'!$J20),0))/Million</f>
        <v>7.3999999999999996E-2</v>
      </c>
      <c r="O35" s="7">
        <f>(IF('Cost Calcs'!O$5&gt;='Platform Cost Inputs'!$H20,'Platform Cost Inputs'!$J20,0)+IF(AND(O$5&lt;'Platform Cost Inputs'!$H20,P$5&gt;'Platform Cost Inputs'!$H20),(('Platform Cost Inputs'!$H20-O$5)*'Platform Cost Inputs'!$J20),0))/Million</f>
        <v>7.3999999999999996E-2</v>
      </c>
      <c r="P35" s="7">
        <f>(IF('Cost Calcs'!P$5&gt;='Platform Cost Inputs'!$H20,'Platform Cost Inputs'!$J20,0)+IF(AND(P$5&lt;'Platform Cost Inputs'!$H20,Q$5&gt;'Platform Cost Inputs'!$H20),(('Platform Cost Inputs'!$H20-P$5)*'Platform Cost Inputs'!$J20),0))/Million</f>
        <v>7.3999999999999996E-2</v>
      </c>
      <c r="Q35" s="7">
        <f>(IF('Cost Calcs'!Q$5&gt;='Platform Cost Inputs'!$H20,'Platform Cost Inputs'!$J20,0)+IF(AND(Q$5&lt;'Platform Cost Inputs'!$H20,R$5&gt;'Platform Cost Inputs'!$H20),(('Platform Cost Inputs'!$H20-Q$5)*'Platform Cost Inputs'!$J20),0))/Million</f>
        <v>7.3999999999999996E-2</v>
      </c>
      <c r="R35" s="7">
        <f>(IF('Cost Calcs'!R$5&gt;='Platform Cost Inputs'!$H20,'Platform Cost Inputs'!$J20,0)+IF(AND(R$5&lt;'Platform Cost Inputs'!$H20,S$5&gt;'Platform Cost Inputs'!$H20),(('Platform Cost Inputs'!$H20-R$5)*'Platform Cost Inputs'!$J20),0))/Million</f>
        <v>7.3999999999999996E-2</v>
      </c>
      <c r="S35" s="7">
        <f>(IF('Cost Calcs'!S$5&gt;='Platform Cost Inputs'!$H20,'Platform Cost Inputs'!$J20,0)+IF(AND(S$5&lt;'Platform Cost Inputs'!$H20,T$5&gt;'Platform Cost Inputs'!$H20),(('Platform Cost Inputs'!$H20-S$5)*'Platform Cost Inputs'!$J20),0))/Million</f>
        <v>7.3999999999999996E-2</v>
      </c>
      <c r="T35" s="7">
        <f>(IF('Cost Calcs'!T$5&gt;='Platform Cost Inputs'!$H20,'Platform Cost Inputs'!$J20,0)+IF(AND(T$5&lt;'Platform Cost Inputs'!$H20,U$5&gt;'Platform Cost Inputs'!$H20),(('Platform Cost Inputs'!$H20-T$5)*'Platform Cost Inputs'!$J20),0))/Million</f>
        <v>7.3999999999999996E-2</v>
      </c>
      <c r="U35" s="7">
        <f>(IF('Cost Calcs'!U$5&gt;='Platform Cost Inputs'!$H20,'Platform Cost Inputs'!$J20,0)+IF(AND(U$5&lt;'Platform Cost Inputs'!$H20,V$5&gt;'Platform Cost Inputs'!$H20),(('Platform Cost Inputs'!$H20-U$5)*'Platform Cost Inputs'!$J20),0))/Million</f>
        <v>7.3999999999999996E-2</v>
      </c>
      <c r="V35" s="7">
        <f>(IF('Cost Calcs'!V$5&gt;='Platform Cost Inputs'!$H20,'Platform Cost Inputs'!$J20,0)+IF(AND(V$5&lt;'Platform Cost Inputs'!$H20,W$5&gt;'Platform Cost Inputs'!$H20),(('Platform Cost Inputs'!$H20-V$5)*'Platform Cost Inputs'!$J20),0))/Million</f>
        <v>7.3999999999999996E-2</v>
      </c>
      <c r="W35" s="7">
        <f>(IF('Cost Calcs'!W$5&gt;='Platform Cost Inputs'!$H20,'Platform Cost Inputs'!$J20,0)+IF(AND(W$5&lt;'Platform Cost Inputs'!$H20,X$5&gt;'Platform Cost Inputs'!$H20),(('Platform Cost Inputs'!$H20-W$5)*'Platform Cost Inputs'!$J20),0))/Million</f>
        <v>7.3999999999999996E-2</v>
      </c>
      <c r="X35" s="7">
        <f>(IF('Cost Calcs'!X$5&gt;='Platform Cost Inputs'!$H20,'Platform Cost Inputs'!$J20,0)+IF(AND(X$5&lt;'Platform Cost Inputs'!$H20,Y$5&gt;'Platform Cost Inputs'!$H20),(('Platform Cost Inputs'!$H20-X$5)*'Platform Cost Inputs'!$J20),0))/Million</f>
        <v>7.3999999999999996E-2</v>
      </c>
      <c r="Y35" s="7">
        <f>(IF('Cost Calcs'!Y$5&gt;='Platform Cost Inputs'!$H20,'Platform Cost Inputs'!$J20,0)+IF(AND(Y$5&lt;'Platform Cost Inputs'!$H20,Z$5&gt;'Platform Cost Inputs'!$H20),(('Platform Cost Inputs'!$H20-Y$5)*'Platform Cost Inputs'!$J20),0))/Million</f>
        <v>7.3999999999999996E-2</v>
      </c>
      <c r="Z35" s="7">
        <f>(IF('Cost Calcs'!Z$5&gt;='Platform Cost Inputs'!$H20,'Platform Cost Inputs'!$J20,0)+IF(AND(Z$5&lt;'Platform Cost Inputs'!$H20,AA$5&gt;'Platform Cost Inputs'!$H20),(('Platform Cost Inputs'!$H20-Z$5)*'Platform Cost Inputs'!$J20),0))/Million</f>
        <v>7.3999999999999996E-2</v>
      </c>
    </row>
    <row r="36" spans="1:26" ht="15.75" x14ac:dyDescent="0.25">
      <c r="A36" s="56" t="str">
        <f t="shared" si="25"/>
        <v>DER- Dispatching Automation</v>
      </c>
      <c r="B36" t="s">
        <v>7</v>
      </c>
      <c r="C36" s="3" t="s">
        <v>9</v>
      </c>
      <c r="D36" s="24">
        <f t="shared" si="27"/>
        <v>0.79621277777424604</v>
      </c>
      <c r="E36" s="59">
        <f t="shared" si="18"/>
        <v>1.1099999999999999</v>
      </c>
      <c r="F36" s="59"/>
      <c r="G36" s="7">
        <f>(IF('Cost Calcs'!G$5&gt;='Platform Cost Inputs'!$H21,'Platform Cost Inputs'!$J21,0)+IF(AND(G$5&lt;'Platform Cost Inputs'!$H21,H$5&gt;'Platform Cost Inputs'!$H21),(('Platform Cost Inputs'!$H21-G$5)*'Platform Cost Inputs'!$J21),0))/Million</f>
        <v>0</v>
      </c>
      <c r="H36" s="7">
        <f>(IF('Cost Calcs'!H$5&gt;='Platform Cost Inputs'!$H21,'Platform Cost Inputs'!$J21,0)+IF(AND(H$5&lt;'Platform Cost Inputs'!$H21,I$5&gt;'Platform Cost Inputs'!$H21),(('Platform Cost Inputs'!$H21-H$5)*'Platform Cost Inputs'!$J21),0))/Million</f>
        <v>0</v>
      </c>
      <c r="I36" s="7">
        <f>(IF('Cost Calcs'!I$5&gt;='Platform Cost Inputs'!$H21,'Platform Cost Inputs'!$J21,0)+IF(AND(I$5&lt;'Platform Cost Inputs'!$H21,J$5&gt;'Platform Cost Inputs'!$H21),(('Platform Cost Inputs'!$H21-I$5)*'Platform Cost Inputs'!$J21),0))/Million</f>
        <v>0</v>
      </c>
      <c r="J36" s="7">
        <f>(IF('Cost Calcs'!J$5&gt;='Platform Cost Inputs'!$H21,'Platform Cost Inputs'!$J21,0)+IF(AND(J$5&lt;'Platform Cost Inputs'!$H21,K$5&gt;'Platform Cost Inputs'!$H21),(('Platform Cost Inputs'!$H21-J$5)*'Platform Cost Inputs'!$J21),0))/Million</f>
        <v>0</v>
      </c>
      <c r="K36" s="7">
        <f>(IF('Cost Calcs'!K$5&gt;='Platform Cost Inputs'!$H21,'Platform Cost Inputs'!$J21,0)+IF(AND(K$5&lt;'Platform Cost Inputs'!$H21,L$5&gt;'Platform Cost Inputs'!$H21),(('Platform Cost Inputs'!$H21-K$5)*'Platform Cost Inputs'!$J21),0))/Million</f>
        <v>0</v>
      </c>
      <c r="L36" s="7">
        <f>(IF('Cost Calcs'!L$5&gt;='Platform Cost Inputs'!$H21,'Platform Cost Inputs'!$J21,0)+IF(AND(L$5&lt;'Platform Cost Inputs'!$H21,M$5&gt;'Platform Cost Inputs'!$H21),(('Platform Cost Inputs'!$H21-L$5)*'Platform Cost Inputs'!$J21),0))/Million</f>
        <v>7.3999999999999996E-2</v>
      </c>
      <c r="M36" s="7">
        <f>(IF('Cost Calcs'!M$5&gt;='Platform Cost Inputs'!$H21,'Platform Cost Inputs'!$J21,0)+IF(AND(M$5&lt;'Platform Cost Inputs'!$H21,N$5&gt;'Platform Cost Inputs'!$H21),(('Platform Cost Inputs'!$H21-M$5)*'Platform Cost Inputs'!$J21),0))/Million</f>
        <v>7.3999999999999996E-2</v>
      </c>
      <c r="N36" s="7">
        <f>(IF('Cost Calcs'!N$5&gt;='Platform Cost Inputs'!$H21,'Platform Cost Inputs'!$J21,0)+IF(AND(N$5&lt;'Platform Cost Inputs'!$H21,O$5&gt;'Platform Cost Inputs'!$H21),(('Platform Cost Inputs'!$H21-N$5)*'Platform Cost Inputs'!$J21),0))/Million</f>
        <v>7.3999999999999996E-2</v>
      </c>
      <c r="O36" s="7">
        <f>(IF('Cost Calcs'!O$5&gt;='Platform Cost Inputs'!$H21,'Platform Cost Inputs'!$J21,0)+IF(AND(O$5&lt;'Platform Cost Inputs'!$H21,P$5&gt;'Platform Cost Inputs'!$H21),(('Platform Cost Inputs'!$H21-O$5)*'Platform Cost Inputs'!$J21),0))/Million</f>
        <v>7.3999999999999996E-2</v>
      </c>
      <c r="P36" s="7">
        <f>(IF('Cost Calcs'!P$5&gt;='Platform Cost Inputs'!$H21,'Platform Cost Inputs'!$J21,0)+IF(AND(P$5&lt;'Platform Cost Inputs'!$H21,Q$5&gt;'Platform Cost Inputs'!$H21),(('Platform Cost Inputs'!$H21-P$5)*'Platform Cost Inputs'!$J21),0))/Million</f>
        <v>7.3999999999999996E-2</v>
      </c>
      <c r="Q36" s="7">
        <f>(IF('Cost Calcs'!Q$5&gt;='Platform Cost Inputs'!$H21,'Platform Cost Inputs'!$J21,0)+IF(AND(Q$5&lt;'Platform Cost Inputs'!$H21,R$5&gt;'Platform Cost Inputs'!$H21),(('Platform Cost Inputs'!$H21-Q$5)*'Platform Cost Inputs'!$J21),0))/Million</f>
        <v>7.3999999999999996E-2</v>
      </c>
      <c r="R36" s="7">
        <f>(IF('Cost Calcs'!R$5&gt;='Platform Cost Inputs'!$H21,'Platform Cost Inputs'!$J21,0)+IF(AND(R$5&lt;'Platform Cost Inputs'!$H21,S$5&gt;'Platform Cost Inputs'!$H21),(('Platform Cost Inputs'!$H21-R$5)*'Platform Cost Inputs'!$J21),0))/Million</f>
        <v>7.3999999999999996E-2</v>
      </c>
      <c r="S36" s="7">
        <f>(IF('Cost Calcs'!S$5&gt;='Platform Cost Inputs'!$H21,'Platform Cost Inputs'!$J21,0)+IF(AND(S$5&lt;'Platform Cost Inputs'!$H21,T$5&gt;'Platform Cost Inputs'!$H21),(('Platform Cost Inputs'!$H21-S$5)*'Platform Cost Inputs'!$J21),0))/Million</f>
        <v>7.3999999999999996E-2</v>
      </c>
      <c r="T36" s="7">
        <f>(IF('Cost Calcs'!T$5&gt;='Platform Cost Inputs'!$H21,'Platform Cost Inputs'!$J21,0)+IF(AND(T$5&lt;'Platform Cost Inputs'!$H21,U$5&gt;'Platform Cost Inputs'!$H21),(('Platform Cost Inputs'!$H21-T$5)*'Platform Cost Inputs'!$J21),0))/Million</f>
        <v>7.3999999999999996E-2</v>
      </c>
      <c r="U36" s="7">
        <f>(IF('Cost Calcs'!U$5&gt;='Platform Cost Inputs'!$H21,'Platform Cost Inputs'!$J21,0)+IF(AND(U$5&lt;'Platform Cost Inputs'!$H21,V$5&gt;'Platform Cost Inputs'!$H21),(('Platform Cost Inputs'!$H21-U$5)*'Platform Cost Inputs'!$J21),0))/Million</f>
        <v>7.3999999999999996E-2</v>
      </c>
      <c r="V36" s="7">
        <f>(IF('Cost Calcs'!V$5&gt;='Platform Cost Inputs'!$H21,'Platform Cost Inputs'!$J21,0)+IF(AND(V$5&lt;'Platform Cost Inputs'!$H21,W$5&gt;'Platform Cost Inputs'!$H21),(('Platform Cost Inputs'!$H21-V$5)*'Platform Cost Inputs'!$J21),0))/Million</f>
        <v>7.3999999999999996E-2</v>
      </c>
      <c r="W36" s="7">
        <f>(IF('Cost Calcs'!W$5&gt;='Platform Cost Inputs'!$H21,'Platform Cost Inputs'!$J21,0)+IF(AND(W$5&lt;'Platform Cost Inputs'!$H21,X$5&gt;'Platform Cost Inputs'!$H21),(('Platform Cost Inputs'!$H21-W$5)*'Platform Cost Inputs'!$J21),0))/Million</f>
        <v>7.3999999999999996E-2</v>
      </c>
      <c r="X36" s="7">
        <f>(IF('Cost Calcs'!X$5&gt;='Platform Cost Inputs'!$H21,'Platform Cost Inputs'!$J21,0)+IF(AND(X$5&lt;'Platform Cost Inputs'!$H21,Y$5&gt;'Platform Cost Inputs'!$H21),(('Platform Cost Inputs'!$H21-X$5)*'Platform Cost Inputs'!$J21),0))/Million</f>
        <v>7.3999999999999996E-2</v>
      </c>
      <c r="Y36" s="7">
        <f>(IF('Cost Calcs'!Y$5&gt;='Platform Cost Inputs'!$H21,'Platform Cost Inputs'!$J21,0)+IF(AND(Y$5&lt;'Platform Cost Inputs'!$H21,Z$5&gt;'Platform Cost Inputs'!$H21),(('Platform Cost Inputs'!$H21-Y$5)*'Platform Cost Inputs'!$J21),0))/Million</f>
        <v>7.3999999999999996E-2</v>
      </c>
      <c r="Z36" s="7">
        <f>(IF('Cost Calcs'!Z$5&gt;='Platform Cost Inputs'!$H21,'Platform Cost Inputs'!$J21,0)+IF(AND(Z$5&lt;'Platform Cost Inputs'!$H21,AA$5&gt;'Platform Cost Inputs'!$H21),(('Platform Cost Inputs'!$H21-Z$5)*'Platform Cost Inputs'!$J21),0))/Million</f>
        <v>7.3999999999999996E-2</v>
      </c>
    </row>
    <row r="37" spans="1:26" s="1" customFormat="1" ht="15.75" x14ac:dyDescent="0.25">
      <c r="A37" s="211" t="s">
        <v>338</v>
      </c>
      <c r="B37" s="211" t="s">
        <v>7</v>
      </c>
      <c r="C37" s="212" t="str">
        <f>C36</f>
        <v>NPV</v>
      </c>
      <c r="D37" s="213">
        <f t="shared" ref="D37" si="28">SUM(D26:D36)</f>
        <v>15.472877286861353</v>
      </c>
      <c r="E37" s="214">
        <f>SUM(E26:E36)</f>
        <v>20.716000000000001</v>
      </c>
      <c r="F37" s="214"/>
      <c r="G37" s="215">
        <f t="shared" ref="G37" si="29">SUM(G26:G36)</f>
        <v>0</v>
      </c>
      <c r="H37" s="216">
        <f t="shared" ref="H37" si="30">SUM(H26:H36)</f>
        <v>0.30000000000000004</v>
      </c>
      <c r="I37" s="215">
        <f t="shared" ref="I37" si="31">SUM(I26:I36)</f>
        <v>0.82600000000000007</v>
      </c>
      <c r="J37" s="215">
        <f t="shared" ref="J37" si="32">SUM(J26:J36)</f>
        <v>0.97399999999999998</v>
      </c>
      <c r="K37" s="215">
        <f t="shared" ref="K37" si="33">SUM(K26:K36)</f>
        <v>1.036</v>
      </c>
      <c r="L37" s="215">
        <f t="shared" ref="L37" si="34">SUM(L26:L36)</f>
        <v>1.1720000000000002</v>
      </c>
      <c r="M37" s="215">
        <f t="shared" ref="M37" si="35">SUM(M26:M36)</f>
        <v>1.1720000000000002</v>
      </c>
      <c r="N37" s="215">
        <f t="shared" ref="N37" si="36">SUM(N26:N36)</f>
        <v>1.1720000000000002</v>
      </c>
      <c r="O37" s="215">
        <f t="shared" ref="O37" si="37">SUM(O26:O36)</f>
        <v>1.1720000000000002</v>
      </c>
      <c r="P37" s="215">
        <f t="shared" ref="P37" si="38">SUM(P26:P36)</f>
        <v>1.1720000000000002</v>
      </c>
      <c r="Q37" s="215">
        <f t="shared" ref="Q37" si="39">SUM(Q26:Q36)</f>
        <v>1.1720000000000002</v>
      </c>
      <c r="R37" s="215">
        <f t="shared" ref="R37" si="40">SUM(R26:R36)</f>
        <v>1.1720000000000002</v>
      </c>
      <c r="S37" s="215">
        <f t="shared" ref="S37" si="41">SUM(S26:S36)</f>
        <v>1.1720000000000002</v>
      </c>
      <c r="T37" s="215">
        <f t="shared" ref="T37" si="42">SUM(T26:T36)</f>
        <v>1.1720000000000002</v>
      </c>
      <c r="U37" s="215">
        <f t="shared" ref="U37" si="43">SUM(U26:U36)</f>
        <v>1.1720000000000002</v>
      </c>
      <c r="V37" s="215">
        <f t="shared" ref="V37" si="44">SUM(V26:V36)</f>
        <v>1.1720000000000002</v>
      </c>
      <c r="W37" s="215">
        <f t="shared" ref="W37" si="45">SUM(W26:W36)</f>
        <v>1.1720000000000002</v>
      </c>
      <c r="X37" s="215">
        <f t="shared" ref="X37" si="46">SUM(X26:X36)</f>
        <v>1.1720000000000002</v>
      </c>
      <c r="Y37" s="215">
        <f t="shared" ref="Y37" si="47">SUM(Y26:Y36)</f>
        <v>1.1720000000000002</v>
      </c>
      <c r="Z37" s="215">
        <f t="shared" ref="Z37" si="48">SUM(Z26:Z36)</f>
        <v>1.1720000000000002</v>
      </c>
    </row>
    <row r="38" spans="1:26" x14ac:dyDescent="0.25">
      <c r="E38" s="59"/>
      <c r="F38" s="59"/>
    </row>
    <row r="39" spans="1:26" x14ac:dyDescent="0.25">
      <c r="A39" s="1" t="s">
        <v>135</v>
      </c>
      <c r="E39" s="59"/>
      <c r="F39" s="59"/>
    </row>
    <row r="40" spans="1:26" ht="15.75" x14ac:dyDescent="0.25">
      <c r="A40" t="s">
        <v>95</v>
      </c>
      <c r="B40" t="s">
        <v>7</v>
      </c>
      <c r="C40" s="3" t="s">
        <v>9</v>
      </c>
      <c r="D40" s="24">
        <f t="shared" ref="D40:D41" ca="1" si="49">SUMPRODUCT(G40:Z40,G$7:Z$7)</f>
        <v>1.5601617725710706</v>
      </c>
      <c r="E40" s="59">
        <f t="shared" ca="1" si="18"/>
        <v>2.112063</v>
      </c>
      <c r="F40" s="59"/>
      <c r="G40" s="7">
        <f ca="1">(IF(G$6&gt;='Platform Cost Inputs'!$C$3,OFFSET('Cost Calcs'!G12,0,-'Platform Cost Inputs'!$C$3),0)+IF(G$6&gt;=('Platform Cost Inputs'!$C$3*2),OFFSET('Cost Calcs'!G12,0,(-'Platform Cost Inputs'!$C$3*2)),0)+IF(G$6&gt;=('Platform Cost Inputs'!$C$3*3),OFFSET('Cost Calcs'!G12,0,(-'Platform Cost Inputs'!$C$3*3)),0))*'Platform Cost Inputs'!$C$2</f>
        <v>0</v>
      </c>
      <c r="H40" s="7">
        <f ca="1">(IF(H$6&gt;='Platform Cost Inputs'!$C$3,OFFSET('Cost Calcs'!H12,0,-'Platform Cost Inputs'!$C$3),0)+IF(H$6&gt;=('Platform Cost Inputs'!$C$3*2),OFFSET('Cost Calcs'!H12,0,(-'Platform Cost Inputs'!$C$3*2)),0)+IF(H$6&gt;=('Platform Cost Inputs'!$C$3*3),OFFSET('Cost Calcs'!H12,0,(-'Platform Cost Inputs'!$C$3*3)),0))*'Platform Cost Inputs'!$C$2</f>
        <v>0</v>
      </c>
      <c r="I40" s="7">
        <f ca="1">(IF(I$6&gt;='Platform Cost Inputs'!$C$3,OFFSET('Cost Calcs'!I12,0,-'Platform Cost Inputs'!$C$3),0)+IF(I$6&gt;=('Platform Cost Inputs'!$C$3*2),OFFSET('Cost Calcs'!I12,0,(-'Platform Cost Inputs'!$C$3*2)),0)+IF(I$6&gt;=('Platform Cost Inputs'!$C$3*3),OFFSET('Cost Calcs'!I12,0,(-'Platform Cost Inputs'!$C$3*3)),0))*'Platform Cost Inputs'!$C$2</f>
        <v>0</v>
      </c>
      <c r="J40" s="7">
        <f ca="1">(IF(J$6&gt;='Platform Cost Inputs'!$C$3,OFFSET('Cost Calcs'!J12,0,-'Platform Cost Inputs'!$C$3),0)+IF(J$6&gt;=('Platform Cost Inputs'!$C$3*2),OFFSET('Cost Calcs'!J12,0,(-'Platform Cost Inputs'!$C$3*2)),0)+IF(J$6&gt;=('Platform Cost Inputs'!$C$3*3),OFFSET('Cost Calcs'!J12,0,(-'Platform Cost Inputs'!$C$3*3)),0))*'Platform Cost Inputs'!$C$2</f>
        <v>0</v>
      </c>
      <c r="K40" s="7">
        <f ca="1">(IF(K$6&gt;='Platform Cost Inputs'!$C$3,OFFSET('Cost Calcs'!K12,0,-'Platform Cost Inputs'!$C$3),0)+IF(K$6&gt;=('Platform Cost Inputs'!$C$3*2),OFFSET('Cost Calcs'!K12,0,(-'Platform Cost Inputs'!$C$3*2)),0)+IF(K$6&gt;=('Platform Cost Inputs'!$C$3*3),OFFSET('Cost Calcs'!K12,0,(-'Platform Cost Inputs'!$C$3*3)),0))*'Platform Cost Inputs'!$C$2</f>
        <v>0</v>
      </c>
      <c r="L40" s="7">
        <f ca="1">(IF(L$6&gt;='Platform Cost Inputs'!$C$3,OFFSET('Cost Calcs'!L12,0,-'Platform Cost Inputs'!$C$3),0)+IF(L$6&gt;=('Platform Cost Inputs'!$C$3*2),OFFSET('Cost Calcs'!L12,0,(-'Platform Cost Inputs'!$C$3*2)),0)+IF(L$6&gt;=('Platform Cost Inputs'!$C$3*3),OFFSET('Cost Calcs'!L12,0,(-'Platform Cost Inputs'!$C$3*3)),0))*'Platform Cost Inputs'!$C$2</f>
        <v>0</v>
      </c>
      <c r="M40" s="7">
        <f ca="1">(IF(M$6&gt;='Platform Cost Inputs'!$C$3,OFFSET('Cost Calcs'!M12,0,-'Platform Cost Inputs'!$C$3),0)+IF(M$6&gt;=('Platform Cost Inputs'!$C$3*2),OFFSET('Cost Calcs'!M12,0,(-'Platform Cost Inputs'!$C$3*2)),0)+IF(M$6&gt;=('Platform Cost Inputs'!$C$3*3),OFFSET('Cost Calcs'!M12,0,(-'Platform Cost Inputs'!$C$3*3)),0))*'Platform Cost Inputs'!$C$2</f>
        <v>0</v>
      </c>
      <c r="N40" s="7">
        <f ca="1">(IF(N$6&gt;='Platform Cost Inputs'!$C$3,OFFSET('Cost Calcs'!N12,0,-'Platform Cost Inputs'!$C$3),0)+IF(N$6&gt;=('Platform Cost Inputs'!$C$3*2),OFFSET('Cost Calcs'!N12,0,(-'Platform Cost Inputs'!$C$3*2)),0)+IF(N$6&gt;=('Platform Cost Inputs'!$C$3*3),OFFSET('Cost Calcs'!N12,0,(-'Platform Cost Inputs'!$C$3*3)),0))*'Platform Cost Inputs'!$C$2</f>
        <v>0.70402100000000001</v>
      </c>
      <c r="O40" s="7">
        <f ca="1">(IF(O$6&gt;='Platform Cost Inputs'!$C$3,OFFSET('Cost Calcs'!O12,0,-'Platform Cost Inputs'!$C$3),0)+IF(O$6&gt;=('Platform Cost Inputs'!$C$3*2),OFFSET('Cost Calcs'!O12,0,(-'Platform Cost Inputs'!$C$3*2)),0)+IF(O$6&gt;=('Platform Cost Inputs'!$C$3*3),OFFSET('Cost Calcs'!O12,0,(-'Platform Cost Inputs'!$C$3*3)),0))*'Platform Cost Inputs'!$C$2</f>
        <v>0.3520105</v>
      </c>
      <c r="P40" s="7">
        <f ca="1">(IF(P$6&gt;='Platform Cost Inputs'!$C$3,OFFSET('Cost Calcs'!P12,0,-'Platform Cost Inputs'!$C$3),0)+IF(P$6&gt;=('Platform Cost Inputs'!$C$3*2),OFFSET('Cost Calcs'!P12,0,(-'Platform Cost Inputs'!$C$3*2)),0)+IF(P$6&gt;=('Platform Cost Inputs'!$C$3*3),OFFSET('Cost Calcs'!P12,0,(-'Platform Cost Inputs'!$C$3*3)),0))*'Platform Cost Inputs'!$C$2</f>
        <v>0</v>
      </c>
      <c r="Q40" s="7">
        <f ca="1">(IF(Q$6&gt;='Platform Cost Inputs'!$C$3,OFFSET('Cost Calcs'!Q12,0,-'Platform Cost Inputs'!$C$3),0)+IF(Q$6&gt;=('Platform Cost Inputs'!$C$3*2),OFFSET('Cost Calcs'!Q12,0,(-'Platform Cost Inputs'!$C$3*2)),0)+IF(Q$6&gt;=('Platform Cost Inputs'!$C$3*3),OFFSET('Cost Calcs'!Q12,0,(-'Platform Cost Inputs'!$C$3*3)),0))*'Platform Cost Inputs'!$C$2</f>
        <v>0</v>
      </c>
      <c r="R40" s="7">
        <f ca="1">(IF(R$6&gt;='Platform Cost Inputs'!$C$3,OFFSET('Cost Calcs'!R12,0,-'Platform Cost Inputs'!$C$3),0)+IF(R$6&gt;=('Platform Cost Inputs'!$C$3*2),OFFSET('Cost Calcs'!R12,0,(-'Platform Cost Inputs'!$C$3*2)),0)+IF(R$6&gt;=('Platform Cost Inputs'!$C$3*3),OFFSET('Cost Calcs'!R12,0,(-'Platform Cost Inputs'!$C$3*3)),0))*'Platform Cost Inputs'!$C$2</f>
        <v>0</v>
      </c>
      <c r="S40" s="7">
        <f ca="1">(IF(S$6&gt;='Platform Cost Inputs'!$C$3,OFFSET('Cost Calcs'!S12,0,-'Platform Cost Inputs'!$C$3),0)+IF(S$6&gt;=('Platform Cost Inputs'!$C$3*2),OFFSET('Cost Calcs'!S12,0,(-'Platform Cost Inputs'!$C$3*2)),0)+IF(S$6&gt;=('Platform Cost Inputs'!$C$3*3),OFFSET('Cost Calcs'!S12,0,(-'Platform Cost Inputs'!$C$3*3)),0))*'Platform Cost Inputs'!$C$2</f>
        <v>0</v>
      </c>
      <c r="T40" s="7">
        <f ca="1">(IF(T$6&gt;='Platform Cost Inputs'!$C$3,OFFSET('Cost Calcs'!T12,0,-'Platform Cost Inputs'!$C$3),0)+IF(T$6&gt;=('Platform Cost Inputs'!$C$3*2),OFFSET('Cost Calcs'!T12,0,(-'Platform Cost Inputs'!$C$3*2)),0)+IF(T$6&gt;=('Platform Cost Inputs'!$C$3*3),OFFSET('Cost Calcs'!T12,0,(-'Platform Cost Inputs'!$C$3*3)),0))*'Platform Cost Inputs'!$C$2</f>
        <v>0</v>
      </c>
      <c r="U40" s="7">
        <f ca="1">(IF(U$6&gt;='Platform Cost Inputs'!$C$3,OFFSET('Cost Calcs'!U12,0,-'Platform Cost Inputs'!$C$3),0)+IF(U$6&gt;=('Platform Cost Inputs'!$C$3*2),OFFSET('Cost Calcs'!U12,0,(-'Platform Cost Inputs'!$C$3*2)),0)+IF(U$6&gt;=('Platform Cost Inputs'!$C$3*3),OFFSET('Cost Calcs'!U12,0,(-'Platform Cost Inputs'!$C$3*3)),0))*'Platform Cost Inputs'!$C$2</f>
        <v>0.70402100000000001</v>
      </c>
      <c r="V40" s="7">
        <f ca="1">(IF(V$6&gt;='Platform Cost Inputs'!$C$3,OFFSET('Cost Calcs'!V12,0,-'Platform Cost Inputs'!$C$3),0)+IF(V$6&gt;=('Platform Cost Inputs'!$C$3*2),OFFSET('Cost Calcs'!V12,0,(-'Platform Cost Inputs'!$C$3*2)),0)+IF(V$6&gt;=('Platform Cost Inputs'!$C$3*3),OFFSET('Cost Calcs'!V12,0,(-'Platform Cost Inputs'!$C$3*3)),0))*'Platform Cost Inputs'!$C$2</f>
        <v>0.3520105</v>
      </c>
      <c r="W40" s="7">
        <f ca="1">(IF(W$6&gt;='Platform Cost Inputs'!$C$3,OFFSET('Cost Calcs'!W12,0,-'Platform Cost Inputs'!$C$3),0)+IF(W$6&gt;=('Platform Cost Inputs'!$C$3*2),OFFSET('Cost Calcs'!W12,0,(-'Platform Cost Inputs'!$C$3*2)),0)+IF(W$6&gt;=('Platform Cost Inputs'!$C$3*3),OFFSET('Cost Calcs'!W12,0,(-'Platform Cost Inputs'!$C$3*3)),0))*'Platform Cost Inputs'!$C$2</f>
        <v>0</v>
      </c>
      <c r="X40" s="7">
        <f ca="1">(IF(X$6&gt;='Platform Cost Inputs'!$C$3,OFFSET('Cost Calcs'!X12,0,-'Platform Cost Inputs'!$C$3),0)+IF(X$6&gt;=('Platform Cost Inputs'!$C$3*2),OFFSET('Cost Calcs'!X12,0,(-'Platform Cost Inputs'!$C$3*2)),0)+IF(X$6&gt;=('Platform Cost Inputs'!$C$3*3),OFFSET('Cost Calcs'!X12,0,(-'Platform Cost Inputs'!$C$3*3)),0))*'Platform Cost Inputs'!$C$2</f>
        <v>0</v>
      </c>
      <c r="Y40" s="7">
        <f ca="1">(IF(Y$6&gt;='Platform Cost Inputs'!$C$3,OFFSET('Cost Calcs'!Y12,0,-'Platform Cost Inputs'!$C$3),0)+IF(Y$6&gt;=('Platform Cost Inputs'!$C$3*2),OFFSET('Cost Calcs'!Y12,0,(-'Platform Cost Inputs'!$C$3*2)),0)+IF(Y$6&gt;=('Platform Cost Inputs'!$C$3*3),OFFSET('Cost Calcs'!Y12,0,(-'Platform Cost Inputs'!$C$3*3)),0))*'Platform Cost Inputs'!$C$2</f>
        <v>0</v>
      </c>
      <c r="Z40" s="7">
        <f ca="1">(IF(Z$6&gt;='Platform Cost Inputs'!$C$3,OFFSET('Cost Calcs'!Z12,0,-'Platform Cost Inputs'!$C$3),0)+IF(Z$6&gt;=('Platform Cost Inputs'!$C$3*2),OFFSET('Cost Calcs'!Z12,0,(-'Platform Cost Inputs'!$C$3*2)),0)+IF(Z$6&gt;=('Platform Cost Inputs'!$C$3*3),OFFSET('Cost Calcs'!Z12,0,(-'Platform Cost Inputs'!$C$3*3)),0))*'Platform Cost Inputs'!$C$2</f>
        <v>0</v>
      </c>
    </row>
    <row r="41" spans="1:26" ht="15.75" x14ac:dyDescent="0.25">
      <c r="A41" t="s">
        <v>96</v>
      </c>
      <c r="B41" t="s">
        <v>7</v>
      </c>
      <c r="C41" s="3" t="s">
        <v>9</v>
      </c>
      <c r="D41" s="24">
        <f t="shared" ca="1" si="49"/>
        <v>3.610230915850992</v>
      </c>
      <c r="E41" s="59">
        <f t="shared" ca="1" si="18"/>
        <v>5.0798399999999999</v>
      </c>
      <c r="F41" s="59"/>
      <c r="G41" s="7">
        <f ca="1">(IF(G$6&gt;='Platform Cost Inputs'!$C$3,OFFSET('Cost Calcs'!G13,0,-'Platform Cost Inputs'!$C$3),0)+IF(G$6&gt;=('Platform Cost Inputs'!$C$3*2),OFFSET('Cost Calcs'!G13,0,(-'Platform Cost Inputs'!$C$3*2)),0)+IF(G$6&gt;=('Platform Cost Inputs'!$C$3*3),OFFSET('Cost Calcs'!G13,0,(-'Platform Cost Inputs'!$C$3*3)),0))*'Platform Cost Inputs'!$C$2</f>
        <v>0</v>
      </c>
      <c r="H41" s="7">
        <f ca="1">(IF(H$6&gt;='Platform Cost Inputs'!$C$3,OFFSET('Cost Calcs'!H13,0,-'Platform Cost Inputs'!$C$3),0)+IF(H$6&gt;=('Platform Cost Inputs'!$C$3*2),OFFSET('Cost Calcs'!H13,0,(-'Platform Cost Inputs'!$C$3*2)),0)+IF(H$6&gt;=('Platform Cost Inputs'!$C$3*3),OFFSET('Cost Calcs'!H13,0,(-'Platform Cost Inputs'!$C$3*3)),0))*'Platform Cost Inputs'!$C$2</f>
        <v>0</v>
      </c>
      <c r="I41" s="7">
        <f ca="1">(IF(I$6&gt;='Platform Cost Inputs'!$C$3,OFFSET('Cost Calcs'!I13,0,-'Platform Cost Inputs'!$C$3),0)+IF(I$6&gt;=('Platform Cost Inputs'!$C$3*2),OFFSET('Cost Calcs'!I13,0,(-'Platform Cost Inputs'!$C$3*2)),0)+IF(I$6&gt;=('Platform Cost Inputs'!$C$3*3),OFFSET('Cost Calcs'!I13,0,(-'Platform Cost Inputs'!$C$3*3)),0))*'Platform Cost Inputs'!$C$2</f>
        <v>0</v>
      </c>
      <c r="J41" s="7">
        <f ca="1">(IF(J$6&gt;='Platform Cost Inputs'!$C$3,OFFSET('Cost Calcs'!J13,0,-'Platform Cost Inputs'!$C$3),0)+IF(J$6&gt;=('Platform Cost Inputs'!$C$3*2),OFFSET('Cost Calcs'!J13,0,(-'Platform Cost Inputs'!$C$3*2)),0)+IF(J$6&gt;=('Platform Cost Inputs'!$C$3*3),OFFSET('Cost Calcs'!J13,0,(-'Platform Cost Inputs'!$C$3*3)),0))*'Platform Cost Inputs'!$C$2</f>
        <v>0</v>
      </c>
      <c r="K41" s="7">
        <f ca="1">(IF(K$6&gt;='Platform Cost Inputs'!$C$3,OFFSET('Cost Calcs'!K13,0,-'Platform Cost Inputs'!$C$3),0)+IF(K$6&gt;=('Platform Cost Inputs'!$C$3*2),OFFSET('Cost Calcs'!K13,0,(-'Platform Cost Inputs'!$C$3*2)),0)+IF(K$6&gt;=('Platform Cost Inputs'!$C$3*3),OFFSET('Cost Calcs'!K13,0,(-'Platform Cost Inputs'!$C$3*3)),0))*'Platform Cost Inputs'!$C$2</f>
        <v>0</v>
      </c>
      <c r="L41" s="7">
        <f ca="1">(IF(L$6&gt;='Platform Cost Inputs'!$C$3,OFFSET('Cost Calcs'!L13,0,-'Platform Cost Inputs'!$C$3),0)+IF(L$6&gt;=('Platform Cost Inputs'!$C$3*2),OFFSET('Cost Calcs'!L13,0,(-'Platform Cost Inputs'!$C$3*2)),0)+IF(L$6&gt;=('Platform Cost Inputs'!$C$3*3),OFFSET('Cost Calcs'!L13,0,(-'Platform Cost Inputs'!$C$3*3)),0))*'Platform Cost Inputs'!$C$2</f>
        <v>0</v>
      </c>
      <c r="M41" s="7">
        <f ca="1">(IF(M$6&gt;='Platform Cost Inputs'!$C$3,OFFSET('Cost Calcs'!M13,0,-'Platform Cost Inputs'!$C$3),0)+IF(M$6&gt;=('Platform Cost Inputs'!$C$3*2),OFFSET('Cost Calcs'!M13,0,(-'Platform Cost Inputs'!$C$3*2)),0)+IF(M$6&gt;=('Platform Cost Inputs'!$C$3*3),OFFSET('Cost Calcs'!M13,0,(-'Platform Cost Inputs'!$C$3*3)),0))*'Platform Cost Inputs'!$C$2</f>
        <v>0</v>
      </c>
      <c r="N41" s="7">
        <f ca="1">(IF(N$6&gt;='Platform Cost Inputs'!$C$3,OFFSET('Cost Calcs'!N13,0,-'Platform Cost Inputs'!$C$3),0)+IF(N$6&gt;=('Platform Cost Inputs'!$C$3*2),OFFSET('Cost Calcs'!N13,0,(-'Platform Cost Inputs'!$C$3*2)),0)+IF(N$6&gt;=('Platform Cost Inputs'!$C$3*3),OFFSET('Cost Calcs'!N13,0,(-'Platform Cost Inputs'!$C$3*3)),0))*'Platform Cost Inputs'!$C$2</f>
        <v>0.56442666666666663</v>
      </c>
      <c r="O41" s="7">
        <f ca="1">(IF(O$6&gt;='Platform Cost Inputs'!$C$3,OFFSET('Cost Calcs'!O13,0,-'Platform Cost Inputs'!$C$3),0)+IF(O$6&gt;=('Platform Cost Inputs'!$C$3*2),OFFSET('Cost Calcs'!O13,0,(-'Platform Cost Inputs'!$C$3*2)),0)+IF(O$6&gt;=('Platform Cost Inputs'!$C$3*3),OFFSET('Cost Calcs'!O13,0,(-'Platform Cost Inputs'!$C$3*3)),0))*'Platform Cost Inputs'!$C$2</f>
        <v>0.56442666666666663</v>
      </c>
      <c r="P41" s="7">
        <f ca="1">(IF(P$6&gt;='Platform Cost Inputs'!$C$3,OFFSET('Cost Calcs'!P13,0,-'Platform Cost Inputs'!$C$3),0)+IF(P$6&gt;=('Platform Cost Inputs'!$C$3*2),OFFSET('Cost Calcs'!P13,0,(-'Platform Cost Inputs'!$C$3*2)),0)+IF(P$6&gt;=('Platform Cost Inputs'!$C$3*3),OFFSET('Cost Calcs'!P13,0,(-'Platform Cost Inputs'!$C$3*3)),0))*'Platform Cost Inputs'!$C$2</f>
        <v>0.56442666666666663</v>
      </c>
      <c r="Q41" s="7">
        <f ca="1">(IF(Q$6&gt;='Platform Cost Inputs'!$C$3,OFFSET('Cost Calcs'!Q13,0,-'Platform Cost Inputs'!$C$3),0)+IF(Q$6&gt;=('Platform Cost Inputs'!$C$3*2),OFFSET('Cost Calcs'!Q13,0,(-'Platform Cost Inputs'!$C$3*2)),0)+IF(Q$6&gt;=('Platform Cost Inputs'!$C$3*3),OFFSET('Cost Calcs'!Q13,0,(-'Platform Cost Inputs'!$C$3*3)),0))*'Platform Cost Inputs'!$C$2</f>
        <v>0.56442666666666663</v>
      </c>
      <c r="R41" s="7">
        <f ca="1">(IF(R$6&gt;='Platform Cost Inputs'!$C$3,OFFSET('Cost Calcs'!R13,0,-'Platform Cost Inputs'!$C$3),0)+IF(R$6&gt;=('Platform Cost Inputs'!$C$3*2),OFFSET('Cost Calcs'!R13,0,(-'Platform Cost Inputs'!$C$3*2)),0)+IF(R$6&gt;=('Platform Cost Inputs'!$C$3*3),OFFSET('Cost Calcs'!R13,0,(-'Platform Cost Inputs'!$C$3*3)),0))*'Platform Cost Inputs'!$C$2</f>
        <v>0.28221333333333332</v>
      </c>
      <c r="S41" s="7">
        <f ca="1">(IF(S$6&gt;='Platform Cost Inputs'!$C$3,OFFSET('Cost Calcs'!S13,0,-'Platform Cost Inputs'!$C$3),0)+IF(S$6&gt;=('Platform Cost Inputs'!$C$3*2),OFFSET('Cost Calcs'!S13,0,(-'Platform Cost Inputs'!$C$3*2)),0)+IF(S$6&gt;=('Platform Cost Inputs'!$C$3*3),OFFSET('Cost Calcs'!S13,0,(-'Platform Cost Inputs'!$C$3*3)),0))*'Platform Cost Inputs'!$C$2</f>
        <v>0</v>
      </c>
      <c r="T41" s="7">
        <f ca="1">(IF(T$6&gt;='Platform Cost Inputs'!$C$3,OFFSET('Cost Calcs'!T13,0,-'Platform Cost Inputs'!$C$3),0)+IF(T$6&gt;=('Platform Cost Inputs'!$C$3*2),OFFSET('Cost Calcs'!T13,0,(-'Platform Cost Inputs'!$C$3*2)),0)+IF(T$6&gt;=('Platform Cost Inputs'!$C$3*3),OFFSET('Cost Calcs'!T13,0,(-'Platform Cost Inputs'!$C$3*3)),0))*'Platform Cost Inputs'!$C$2</f>
        <v>0</v>
      </c>
      <c r="U41" s="7">
        <f ca="1">(IF(U$6&gt;='Platform Cost Inputs'!$C$3,OFFSET('Cost Calcs'!U13,0,-'Platform Cost Inputs'!$C$3),0)+IF(U$6&gt;=('Platform Cost Inputs'!$C$3*2),OFFSET('Cost Calcs'!U13,0,(-'Platform Cost Inputs'!$C$3*2)),0)+IF(U$6&gt;=('Platform Cost Inputs'!$C$3*3),OFFSET('Cost Calcs'!U13,0,(-'Platform Cost Inputs'!$C$3*3)),0))*'Platform Cost Inputs'!$C$2</f>
        <v>0.56442666666666663</v>
      </c>
      <c r="V41" s="7">
        <f ca="1">(IF(V$6&gt;='Platform Cost Inputs'!$C$3,OFFSET('Cost Calcs'!V13,0,-'Platform Cost Inputs'!$C$3),0)+IF(V$6&gt;=('Platform Cost Inputs'!$C$3*2),OFFSET('Cost Calcs'!V13,0,(-'Platform Cost Inputs'!$C$3*2)),0)+IF(V$6&gt;=('Platform Cost Inputs'!$C$3*3),OFFSET('Cost Calcs'!V13,0,(-'Platform Cost Inputs'!$C$3*3)),0))*'Platform Cost Inputs'!$C$2</f>
        <v>0.56442666666666663</v>
      </c>
      <c r="W41" s="7">
        <f ca="1">(IF(W$6&gt;='Platform Cost Inputs'!$C$3,OFFSET('Cost Calcs'!W13,0,-'Platform Cost Inputs'!$C$3),0)+IF(W$6&gt;=('Platform Cost Inputs'!$C$3*2),OFFSET('Cost Calcs'!W13,0,(-'Platform Cost Inputs'!$C$3*2)),0)+IF(W$6&gt;=('Platform Cost Inputs'!$C$3*3),OFFSET('Cost Calcs'!W13,0,(-'Platform Cost Inputs'!$C$3*3)),0))*'Platform Cost Inputs'!$C$2</f>
        <v>0.56442666666666663</v>
      </c>
      <c r="X41" s="7">
        <f ca="1">(IF(X$6&gt;='Platform Cost Inputs'!$C$3,OFFSET('Cost Calcs'!X13,0,-'Platform Cost Inputs'!$C$3),0)+IF(X$6&gt;=('Platform Cost Inputs'!$C$3*2),OFFSET('Cost Calcs'!X13,0,(-'Platform Cost Inputs'!$C$3*2)),0)+IF(X$6&gt;=('Platform Cost Inputs'!$C$3*3),OFFSET('Cost Calcs'!X13,0,(-'Platform Cost Inputs'!$C$3*3)),0))*'Platform Cost Inputs'!$C$2</f>
        <v>0.56442666666666663</v>
      </c>
      <c r="Y41" s="7">
        <f ca="1">(IF(Y$6&gt;='Platform Cost Inputs'!$C$3,OFFSET('Cost Calcs'!Y13,0,-'Platform Cost Inputs'!$C$3),0)+IF(Y$6&gt;=('Platform Cost Inputs'!$C$3*2),OFFSET('Cost Calcs'!Y13,0,(-'Platform Cost Inputs'!$C$3*2)),0)+IF(Y$6&gt;=('Platform Cost Inputs'!$C$3*3),OFFSET('Cost Calcs'!Y13,0,(-'Platform Cost Inputs'!$C$3*3)),0))*'Platform Cost Inputs'!$C$2</f>
        <v>0.28221333333333332</v>
      </c>
      <c r="Z41" s="7">
        <f ca="1">(IF(Z$6&gt;='Platform Cost Inputs'!$C$3,OFFSET('Cost Calcs'!Z13,0,-'Platform Cost Inputs'!$C$3),0)+IF(Z$6&gt;=('Platform Cost Inputs'!$C$3*2),OFFSET('Cost Calcs'!Z13,0,(-'Platform Cost Inputs'!$C$3*2)),0)+IF(Z$6&gt;=('Platform Cost Inputs'!$C$3*3),OFFSET('Cost Calcs'!Z13,0,(-'Platform Cost Inputs'!$C$3*3)),0))*'Platform Cost Inputs'!$C$2</f>
        <v>0</v>
      </c>
    </row>
    <row r="42" spans="1:26" ht="15.75" x14ac:dyDescent="0.25">
      <c r="A42" t="s">
        <v>97</v>
      </c>
      <c r="B42" t="s">
        <v>7</v>
      </c>
      <c r="C42" s="3" t="s">
        <v>9</v>
      </c>
      <c r="D42" s="24">
        <f t="shared" ref="D42:D50" ca="1" si="50">SUMPRODUCT(G42:Z42,G$7:Z$7)</f>
        <v>0.8645512859569604</v>
      </c>
      <c r="E42" s="59">
        <f t="shared" ca="1" si="18"/>
        <v>1.19184</v>
      </c>
      <c r="F42" s="59"/>
      <c r="G42" s="7">
        <f ca="1">(IF(G$6&gt;='Platform Cost Inputs'!$C$3,OFFSET('Cost Calcs'!G14,0,-'Platform Cost Inputs'!$C$3),0)+IF(G$6&gt;=('Platform Cost Inputs'!$C$3*2),OFFSET('Cost Calcs'!G14,0,(-'Platform Cost Inputs'!$C$3*2)),0)+IF(G$6&gt;=('Platform Cost Inputs'!$C$3*3),OFFSET('Cost Calcs'!G14,0,(-'Platform Cost Inputs'!$C$3*3)),0))*'Platform Cost Inputs'!$C$2</f>
        <v>0</v>
      </c>
      <c r="H42" s="7">
        <f ca="1">(IF(H$6&gt;='Platform Cost Inputs'!$C$3,OFFSET('Cost Calcs'!H14,0,-'Platform Cost Inputs'!$C$3),0)+IF(H$6&gt;=('Platform Cost Inputs'!$C$3*2),OFFSET('Cost Calcs'!H14,0,(-'Platform Cost Inputs'!$C$3*2)),0)+IF(H$6&gt;=('Platform Cost Inputs'!$C$3*3),OFFSET('Cost Calcs'!H14,0,(-'Platform Cost Inputs'!$C$3*3)),0))*'Platform Cost Inputs'!$C$2</f>
        <v>0</v>
      </c>
      <c r="I42" s="7">
        <f ca="1">(IF(I$6&gt;='Platform Cost Inputs'!$C$3,OFFSET('Cost Calcs'!I14,0,-'Platform Cost Inputs'!$C$3),0)+IF(I$6&gt;=('Platform Cost Inputs'!$C$3*2),OFFSET('Cost Calcs'!I14,0,(-'Platform Cost Inputs'!$C$3*2)),0)+IF(I$6&gt;=('Platform Cost Inputs'!$C$3*3),OFFSET('Cost Calcs'!I14,0,(-'Platform Cost Inputs'!$C$3*3)),0))*'Platform Cost Inputs'!$C$2</f>
        <v>0</v>
      </c>
      <c r="J42" s="7">
        <f ca="1">(IF(J$6&gt;='Platform Cost Inputs'!$C$3,OFFSET('Cost Calcs'!J14,0,-'Platform Cost Inputs'!$C$3),0)+IF(J$6&gt;=('Platform Cost Inputs'!$C$3*2),OFFSET('Cost Calcs'!J14,0,(-'Platform Cost Inputs'!$C$3*2)),0)+IF(J$6&gt;=('Platform Cost Inputs'!$C$3*3),OFFSET('Cost Calcs'!J14,0,(-'Platform Cost Inputs'!$C$3*3)),0))*'Platform Cost Inputs'!$C$2</f>
        <v>0</v>
      </c>
      <c r="K42" s="7">
        <f ca="1">(IF(K$6&gt;='Platform Cost Inputs'!$C$3,OFFSET('Cost Calcs'!K14,0,-'Platform Cost Inputs'!$C$3),0)+IF(K$6&gt;=('Platform Cost Inputs'!$C$3*2),OFFSET('Cost Calcs'!K14,0,(-'Platform Cost Inputs'!$C$3*2)),0)+IF(K$6&gt;=('Platform Cost Inputs'!$C$3*3),OFFSET('Cost Calcs'!K14,0,(-'Platform Cost Inputs'!$C$3*3)),0))*'Platform Cost Inputs'!$C$2</f>
        <v>0</v>
      </c>
      <c r="L42" s="7">
        <f ca="1">(IF(L$6&gt;='Platform Cost Inputs'!$C$3,OFFSET('Cost Calcs'!L14,0,-'Platform Cost Inputs'!$C$3),0)+IF(L$6&gt;=('Platform Cost Inputs'!$C$3*2),OFFSET('Cost Calcs'!L14,0,(-'Platform Cost Inputs'!$C$3*2)),0)+IF(L$6&gt;=('Platform Cost Inputs'!$C$3*3),OFFSET('Cost Calcs'!L14,0,(-'Platform Cost Inputs'!$C$3*3)),0))*'Platform Cost Inputs'!$C$2</f>
        <v>0</v>
      </c>
      <c r="M42" s="7">
        <f ca="1">(IF(M$6&gt;='Platform Cost Inputs'!$C$3,OFFSET('Cost Calcs'!M14,0,-'Platform Cost Inputs'!$C$3),0)+IF(M$6&gt;=('Platform Cost Inputs'!$C$3*2),OFFSET('Cost Calcs'!M14,0,(-'Platform Cost Inputs'!$C$3*2)),0)+IF(M$6&gt;=('Platform Cost Inputs'!$C$3*3),OFFSET('Cost Calcs'!M14,0,(-'Platform Cost Inputs'!$C$3*3)),0))*'Platform Cost Inputs'!$C$2</f>
        <v>0</v>
      </c>
      <c r="N42" s="7">
        <f ca="1">(IF(N$6&gt;='Platform Cost Inputs'!$C$3,OFFSET('Cost Calcs'!N14,0,-'Platform Cost Inputs'!$C$3),0)+IF(N$6&gt;=('Platform Cost Inputs'!$C$3*2),OFFSET('Cost Calcs'!N14,0,(-'Platform Cost Inputs'!$C$3*2)),0)+IF(N$6&gt;=('Platform Cost Inputs'!$C$3*3),OFFSET('Cost Calcs'!N14,0,(-'Platform Cost Inputs'!$C$3*3)),0))*'Platform Cost Inputs'!$C$2</f>
        <v>0</v>
      </c>
      <c r="O42" s="7">
        <f ca="1">(IF(O$6&gt;='Platform Cost Inputs'!$C$3,OFFSET('Cost Calcs'!O14,0,-'Platform Cost Inputs'!$C$3),0)+IF(O$6&gt;=('Platform Cost Inputs'!$C$3*2),OFFSET('Cost Calcs'!O14,0,(-'Platform Cost Inputs'!$C$3*2)),0)+IF(O$6&gt;=('Platform Cost Inputs'!$C$3*3),OFFSET('Cost Calcs'!O14,0,(-'Platform Cost Inputs'!$C$3*3)),0))*'Platform Cost Inputs'!$C$2</f>
        <v>0.59592000000000001</v>
      </c>
      <c r="P42" s="7">
        <f ca="1">(IF(P$6&gt;='Platform Cost Inputs'!$C$3,OFFSET('Cost Calcs'!P14,0,-'Platform Cost Inputs'!$C$3),0)+IF(P$6&gt;=('Platform Cost Inputs'!$C$3*2),OFFSET('Cost Calcs'!P14,0,(-'Platform Cost Inputs'!$C$3*2)),0)+IF(P$6&gt;=('Platform Cost Inputs'!$C$3*3),OFFSET('Cost Calcs'!P14,0,(-'Platform Cost Inputs'!$C$3*3)),0))*'Platform Cost Inputs'!$C$2</f>
        <v>0</v>
      </c>
      <c r="Q42" s="7">
        <f ca="1">(IF(Q$6&gt;='Platform Cost Inputs'!$C$3,OFFSET('Cost Calcs'!Q14,0,-'Platform Cost Inputs'!$C$3),0)+IF(Q$6&gt;=('Platform Cost Inputs'!$C$3*2),OFFSET('Cost Calcs'!Q14,0,(-'Platform Cost Inputs'!$C$3*2)),0)+IF(Q$6&gt;=('Platform Cost Inputs'!$C$3*3),OFFSET('Cost Calcs'!Q14,0,(-'Platform Cost Inputs'!$C$3*3)),0))*'Platform Cost Inputs'!$C$2</f>
        <v>0</v>
      </c>
      <c r="R42" s="7">
        <f ca="1">(IF(R$6&gt;='Platform Cost Inputs'!$C$3,OFFSET('Cost Calcs'!R14,0,-'Platform Cost Inputs'!$C$3),0)+IF(R$6&gt;=('Platform Cost Inputs'!$C$3*2),OFFSET('Cost Calcs'!R14,0,(-'Platform Cost Inputs'!$C$3*2)),0)+IF(R$6&gt;=('Platform Cost Inputs'!$C$3*3),OFFSET('Cost Calcs'!R14,0,(-'Platform Cost Inputs'!$C$3*3)),0))*'Platform Cost Inputs'!$C$2</f>
        <v>0</v>
      </c>
      <c r="S42" s="7">
        <f ca="1">(IF(S$6&gt;='Platform Cost Inputs'!$C$3,OFFSET('Cost Calcs'!S14,0,-'Platform Cost Inputs'!$C$3),0)+IF(S$6&gt;=('Platform Cost Inputs'!$C$3*2),OFFSET('Cost Calcs'!S14,0,(-'Platform Cost Inputs'!$C$3*2)),0)+IF(S$6&gt;=('Platform Cost Inputs'!$C$3*3),OFFSET('Cost Calcs'!S14,0,(-'Platform Cost Inputs'!$C$3*3)),0))*'Platform Cost Inputs'!$C$2</f>
        <v>0</v>
      </c>
      <c r="T42" s="7">
        <f ca="1">(IF(T$6&gt;='Platform Cost Inputs'!$C$3,OFFSET('Cost Calcs'!T14,0,-'Platform Cost Inputs'!$C$3),0)+IF(T$6&gt;=('Platform Cost Inputs'!$C$3*2),OFFSET('Cost Calcs'!T14,0,(-'Platform Cost Inputs'!$C$3*2)),0)+IF(T$6&gt;=('Platform Cost Inputs'!$C$3*3),OFFSET('Cost Calcs'!T14,0,(-'Platform Cost Inputs'!$C$3*3)),0))*'Platform Cost Inputs'!$C$2</f>
        <v>0</v>
      </c>
      <c r="U42" s="7">
        <f ca="1">(IF(U$6&gt;='Platform Cost Inputs'!$C$3,OFFSET('Cost Calcs'!U14,0,-'Platform Cost Inputs'!$C$3),0)+IF(U$6&gt;=('Platform Cost Inputs'!$C$3*2),OFFSET('Cost Calcs'!U14,0,(-'Platform Cost Inputs'!$C$3*2)),0)+IF(U$6&gt;=('Platform Cost Inputs'!$C$3*3),OFFSET('Cost Calcs'!U14,0,(-'Platform Cost Inputs'!$C$3*3)),0))*'Platform Cost Inputs'!$C$2</f>
        <v>0</v>
      </c>
      <c r="V42" s="7">
        <f ca="1">(IF(V$6&gt;='Platform Cost Inputs'!$C$3,OFFSET('Cost Calcs'!V14,0,-'Platform Cost Inputs'!$C$3),0)+IF(V$6&gt;=('Platform Cost Inputs'!$C$3*2),OFFSET('Cost Calcs'!V14,0,(-'Platform Cost Inputs'!$C$3*2)),0)+IF(V$6&gt;=('Platform Cost Inputs'!$C$3*3),OFFSET('Cost Calcs'!V14,0,(-'Platform Cost Inputs'!$C$3*3)),0))*'Platform Cost Inputs'!$C$2</f>
        <v>0.59592000000000001</v>
      </c>
      <c r="W42" s="7">
        <f ca="1">(IF(W$6&gt;='Platform Cost Inputs'!$C$3,OFFSET('Cost Calcs'!W14,0,-'Platform Cost Inputs'!$C$3),0)+IF(W$6&gt;=('Platform Cost Inputs'!$C$3*2),OFFSET('Cost Calcs'!W14,0,(-'Platform Cost Inputs'!$C$3*2)),0)+IF(W$6&gt;=('Platform Cost Inputs'!$C$3*3),OFFSET('Cost Calcs'!W14,0,(-'Platform Cost Inputs'!$C$3*3)),0))*'Platform Cost Inputs'!$C$2</f>
        <v>0</v>
      </c>
      <c r="X42" s="7">
        <f ca="1">(IF(X$6&gt;='Platform Cost Inputs'!$C$3,OFFSET('Cost Calcs'!X14,0,-'Platform Cost Inputs'!$C$3),0)+IF(X$6&gt;=('Platform Cost Inputs'!$C$3*2),OFFSET('Cost Calcs'!X14,0,(-'Platform Cost Inputs'!$C$3*2)),0)+IF(X$6&gt;=('Platform Cost Inputs'!$C$3*3),OFFSET('Cost Calcs'!X14,0,(-'Platform Cost Inputs'!$C$3*3)),0))*'Platform Cost Inputs'!$C$2</f>
        <v>0</v>
      </c>
      <c r="Y42" s="7">
        <f ca="1">(IF(Y$6&gt;='Platform Cost Inputs'!$C$3,OFFSET('Cost Calcs'!Y14,0,-'Platform Cost Inputs'!$C$3),0)+IF(Y$6&gt;=('Platform Cost Inputs'!$C$3*2),OFFSET('Cost Calcs'!Y14,0,(-'Platform Cost Inputs'!$C$3*2)),0)+IF(Y$6&gt;=('Platform Cost Inputs'!$C$3*3),OFFSET('Cost Calcs'!Y14,0,(-'Platform Cost Inputs'!$C$3*3)),0))*'Platform Cost Inputs'!$C$2</f>
        <v>0</v>
      </c>
      <c r="Z42" s="7">
        <f ca="1">(IF(Z$6&gt;='Platform Cost Inputs'!$C$3,OFFSET('Cost Calcs'!Z14,0,-'Platform Cost Inputs'!$C$3),0)+IF(Z$6&gt;=('Platform Cost Inputs'!$C$3*2),OFFSET('Cost Calcs'!Z14,0,(-'Platform Cost Inputs'!$C$3*2)),0)+IF(Z$6&gt;=('Platform Cost Inputs'!$C$3*3),OFFSET('Cost Calcs'!Z14,0,(-'Platform Cost Inputs'!$C$3*3)),0))*'Platform Cost Inputs'!$C$2</f>
        <v>0</v>
      </c>
    </row>
    <row r="43" spans="1:26" ht="15.75" x14ac:dyDescent="0.25">
      <c r="A43" t="s">
        <v>68</v>
      </c>
      <c r="B43" t="s">
        <v>7</v>
      </c>
      <c r="C43" s="3" t="s">
        <v>9</v>
      </c>
      <c r="D43" s="24">
        <f t="shared" ca="1" si="50"/>
        <v>1.5426458354133428</v>
      </c>
      <c r="E43" s="59">
        <f t="shared" ca="1" si="18"/>
        <v>2.0697199999999998</v>
      </c>
      <c r="F43" s="59"/>
      <c r="G43" s="7">
        <f ca="1">(IF(G$6&gt;='Platform Cost Inputs'!$C$3,OFFSET('Cost Calcs'!G15,0,-'Platform Cost Inputs'!$C$3),0)+IF(G$6&gt;=('Platform Cost Inputs'!$C$3*2),OFFSET('Cost Calcs'!G15,0,(-'Platform Cost Inputs'!$C$3*2)),0)+IF(G$6&gt;=('Platform Cost Inputs'!$C$3*3),OFFSET('Cost Calcs'!G15,0,(-'Platform Cost Inputs'!$C$3*3)),0))*'Platform Cost Inputs'!$C$2</f>
        <v>0</v>
      </c>
      <c r="H43" s="7">
        <f ca="1">(IF(H$6&gt;='Platform Cost Inputs'!$C$3,OFFSET('Cost Calcs'!H15,0,-'Platform Cost Inputs'!$C$3),0)+IF(H$6&gt;=('Platform Cost Inputs'!$C$3*2),OFFSET('Cost Calcs'!H15,0,(-'Platform Cost Inputs'!$C$3*2)),0)+IF(H$6&gt;=('Platform Cost Inputs'!$C$3*3),OFFSET('Cost Calcs'!H15,0,(-'Platform Cost Inputs'!$C$3*3)),0))*'Platform Cost Inputs'!$C$2</f>
        <v>0</v>
      </c>
      <c r="I43" s="7">
        <f ca="1">(IF(I$6&gt;='Platform Cost Inputs'!$C$3,OFFSET('Cost Calcs'!I15,0,-'Platform Cost Inputs'!$C$3),0)+IF(I$6&gt;=('Platform Cost Inputs'!$C$3*2),OFFSET('Cost Calcs'!I15,0,(-'Platform Cost Inputs'!$C$3*2)),0)+IF(I$6&gt;=('Platform Cost Inputs'!$C$3*3),OFFSET('Cost Calcs'!I15,0,(-'Platform Cost Inputs'!$C$3*3)),0))*'Platform Cost Inputs'!$C$2</f>
        <v>0</v>
      </c>
      <c r="J43" s="7">
        <f ca="1">(IF(J$6&gt;='Platform Cost Inputs'!$C$3,OFFSET('Cost Calcs'!J15,0,-'Platform Cost Inputs'!$C$3),0)+IF(J$6&gt;=('Platform Cost Inputs'!$C$3*2),OFFSET('Cost Calcs'!J15,0,(-'Platform Cost Inputs'!$C$3*2)),0)+IF(J$6&gt;=('Platform Cost Inputs'!$C$3*3),OFFSET('Cost Calcs'!J15,0,(-'Platform Cost Inputs'!$C$3*3)),0))*'Platform Cost Inputs'!$C$2</f>
        <v>0</v>
      </c>
      <c r="K43" s="7">
        <f ca="1">(IF(K$6&gt;='Platform Cost Inputs'!$C$3,OFFSET('Cost Calcs'!K15,0,-'Platform Cost Inputs'!$C$3),0)+IF(K$6&gt;=('Platform Cost Inputs'!$C$3*2),OFFSET('Cost Calcs'!K15,0,(-'Platform Cost Inputs'!$C$3*2)),0)+IF(K$6&gt;=('Platform Cost Inputs'!$C$3*3),OFFSET('Cost Calcs'!K15,0,(-'Platform Cost Inputs'!$C$3*3)),0))*'Platform Cost Inputs'!$C$2</f>
        <v>0</v>
      </c>
      <c r="L43" s="7">
        <f ca="1">(IF(L$6&gt;='Platform Cost Inputs'!$C$3,OFFSET('Cost Calcs'!L15,0,-'Platform Cost Inputs'!$C$3),0)+IF(L$6&gt;=('Platform Cost Inputs'!$C$3*2),OFFSET('Cost Calcs'!L15,0,(-'Platform Cost Inputs'!$C$3*2)),0)+IF(L$6&gt;=('Platform Cost Inputs'!$C$3*3),OFFSET('Cost Calcs'!L15,0,(-'Platform Cost Inputs'!$C$3*3)),0))*'Platform Cost Inputs'!$C$2</f>
        <v>0</v>
      </c>
      <c r="M43" s="7">
        <f ca="1">(IF(M$6&gt;='Platform Cost Inputs'!$C$3,OFFSET('Cost Calcs'!M15,0,-'Platform Cost Inputs'!$C$3),0)+IF(M$6&gt;=('Platform Cost Inputs'!$C$3*2),OFFSET('Cost Calcs'!M15,0,(-'Platform Cost Inputs'!$C$3*2)),0)+IF(M$6&gt;=('Platform Cost Inputs'!$C$3*3),OFFSET('Cost Calcs'!M15,0,(-'Platform Cost Inputs'!$C$3*3)),0))*'Platform Cost Inputs'!$C$2</f>
        <v>0</v>
      </c>
      <c r="N43" s="7">
        <f ca="1">(IF(N$6&gt;='Platform Cost Inputs'!$C$3,OFFSET('Cost Calcs'!N15,0,-'Platform Cost Inputs'!$C$3),0)+IF(N$6&gt;=('Platform Cost Inputs'!$C$3*2),OFFSET('Cost Calcs'!N15,0,(-'Platform Cost Inputs'!$C$3*2)),0)+IF(N$6&gt;=('Platform Cost Inputs'!$C$3*3),OFFSET('Cost Calcs'!N15,0,(-'Platform Cost Inputs'!$C$3*3)),0))*'Platform Cost Inputs'!$C$2</f>
        <v>1.0348599999999999</v>
      </c>
      <c r="O43" s="7">
        <f ca="1">(IF(O$6&gt;='Platform Cost Inputs'!$C$3,OFFSET('Cost Calcs'!O15,0,-'Platform Cost Inputs'!$C$3),0)+IF(O$6&gt;=('Platform Cost Inputs'!$C$3*2),OFFSET('Cost Calcs'!O15,0,(-'Platform Cost Inputs'!$C$3*2)),0)+IF(O$6&gt;=('Platform Cost Inputs'!$C$3*3),OFFSET('Cost Calcs'!O15,0,(-'Platform Cost Inputs'!$C$3*3)),0))*'Platform Cost Inputs'!$C$2</f>
        <v>0</v>
      </c>
      <c r="P43" s="7">
        <f ca="1">(IF(P$6&gt;='Platform Cost Inputs'!$C$3,OFFSET('Cost Calcs'!P15,0,-'Platform Cost Inputs'!$C$3),0)+IF(P$6&gt;=('Platform Cost Inputs'!$C$3*2),OFFSET('Cost Calcs'!P15,0,(-'Platform Cost Inputs'!$C$3*2)),0)+IF(P$6&gt;=('Platform Cost Inputs'!$C$3*3),OFFSET('Cost Calcs'!P15,0,(-'Platform Cost Inputs'!$C$3*3)),0))*'Platform Cost Inputs'!$C$2</f>
        <v>0</v>
      </c>
      <c r="Q43" s="7">
        <f ca="1">(IF(Q$6&gt;='Platform Cost Inputs'!$C$3,OFFSET('Cost Calcs'!Q15,0,-'Platform Cost Inputs'!$C$3),0)+IF(Q$6&gt;=('Platform Cost Inputs'!$C$3*2),OFFSET('Cost Calcs'!Q15,0,(-'Platform Cost Inputs'!$C$3*2)),0)+IF(Q$6&gt;=('Platform Cost Inputs'!$C$3*3),OFFSET('Cost Calcs'!Q15,0,(-'Platform Cost Inputs'!$C$3*3)),0))*'Platform Cost Inputs'!$C$2</f>
        <v>0</v>
      </c>
      <c r="R43" s="7">
        <f ca="1">(IF(R$6&gt;='Platform Cost Inputs'!$C$3,OFFSET('Cost Calcs'!R15,0,-'Platform Cost Inputs'!$C$3),0)+IF(R$6&gt;=('Platform Cost Inputs'!$C$3*2),OFFSET('Cost Calcs'!R15,0,(-'Platform Cost Inputs'!$C$3*2)),0)+IF(R$6&gt;=('Platform Cost Inputs'!$C$3*3),OFFSET('Cost Calcs'!R15,0,(-'Platform Cost Inputs'!$C$3*3)),0))*'Platform Cost Inputs'!$C$2</f>
        <v>0</v>
      </c>
      <c r="S43" s="7">
        <f ca="1">(IF(S$6&gt;='Platform Cost Inputs'!$C$3,OFFSET('Cost Calcs'!S15,0,-'Platform Cost Inputs'!$C$3),0)+IF(S$6&gt;=('Platform Cost Inputs'!$C$3*2),OFFSET('Cost Calcs'!S15,0,(-'Platform Cost Inputs'!$C$3*2)),0)+IF(S$6&gt;=('Platform Cost Inputs'!$C$3*3),OFFSET('Cost Calcs'!S15,0,(-'Platform Cost Inputs'!$C$3*3)),0))*'Platform Cost Inputs'!$C$2</f>
        <v>0</v>
      </c>
      <c r="T43" s="7">
        <f ca="1">(IF(T$6&gt;='Platform Cost Inputs'!$C$3,OFFSET('Cost Calcs'!T15,0,-'Platform Cost Inputs'!$C$3),0)+IF(T$6&gt;=('Platform Cost Inputs'!$C$3*2),OFFSET('Cost Calcs'!T15,0,(-'Platform Cost Inputs'!$C$3*2)),0)+IF(T$6&gt;=('Platform Cost Inputs'!$C$3*3),OFFSET('Cost Calcs'!T15,0,(-'Platform Cost Inputs'!$C$3*3)),0))*'Platform Cost Inputs'!$C$2</f>
        <v>0</v>
      </c>
      <c r="U43" s="7">
        <f ca="1">(IF(U$6&gt;='Platform Cost Inputs'!$C$3,OFFSET('Cost Calcs'!U15,0,-'Platform Cost Inputs'!$C$3),0)+IF(U$6&gt;=('Platform Cost Inputs'!$C$3*2),OFFSET('Cost Calcs'!U15,0,(-'Platform Cost Inputs'!$C$3*2)),0)+IF(U$6&gt;=('Platform Cost Inputs'!$C$3*3),OFFSET('Cost Calcs'!U15,0,(-'Platform Cost Inputs'!$C$3*3)),0))*'Platform Cost Inputs'!$C$2</f>
        <v>1.0348599999999999</v>
      </c>
      <c r="V43" s="7">
        <f ca="1">(IF(V$6&gt;='Platform Cost Inputs'!$C$3,OFFSET('Cost Calcs'!V15,0,-'Platform Cost Inputs'!$C$3),0)+IF(V$6&gt;=('Platform Cost Inputs'!$C$3*2),OFFSET('Cost Calcs'!V15,0,(-'Platform Cost Inputs'!$C$3*2)),0)+IF(V$6&gt;=('Platform Cost Inputs'!$C$3*3),OFFSET('Cost Calcs'!V15,0,(-'Platform Cost Inputs'!$C$3*3)),0))*'Platform Cost Inputs'!$C$2</f>
        <v>0</v>
      </c>
      <c r="W43" s="7">
        <f ca="1">(IF(W$6&gt;='Platform Cost Inputs'!$C$3,OFFSET('Cost Calcs'!W15,0,-'Platform Cost Inputs'!$C$3),0)+IF(W$6&gt;=('Platform Cost Inputs'!$C$3*2),OFFSET('Cost Calcs'!W15,0,(-'Platform Cost Inputs'!$C$3*2)),0)+IF(W$6&gt;=('Platform Cost Inputs'!$C$3*3),OFFSET('Cost Calcs'!W15,0,(-'Platform Cost Inputs'!$C$3*3)),0))*'Platform Cost Inputs'!$C$2</f>
        <v>0</v>
      </c>
      <c r="X43" s="7">
        <f ca="1">(IF(X$6&gt;='Platform Cost Inputs'!$C$3,OFFSET('Cost Calcs'!X15,0,-'Platform Cost Inputs'!$C$3),0)+IF(X$6&gt;=('Platform Cost Inputs'!$C$3*2),OFFSET('Cost Calcs'!X15,0,(-'Platform Cost Inputs'!$C$3*2)),0)+IF(X$6&gt;=('Platform Cost Inputs'!$C$3*3),OFFSET('Cost Calcs'!X15,0,(-'Platform Cost Inputs'!$C$3*3)),0))*'Platform Cost Inputs'!$C$2</f>
        <v>0</v>
      </c>
      <c r="Y43" s="7">
        <f ca="1">(IF(Y$6&gt;='Platform Cost Inputs'!$C$3,OFFSET('Cost Calcs'!Y15,0,-'Platform Cost Inputs'!$C$3),0)+IF(Y$6&gt;=('Platform Cost Inputs'!$C$3*2),OFFSET('Cost Calcs'!Y15,0,(-'Platform Cost Inputs'!$C$3*2)),0)+IF(Y$6&gt;=('Platform Cost Inputs'!$C$3*3),OFFSET('Cost Calcs'!Y15,0,(-'Platform Cost Inputs'!$C$3*3)),0))*'Platform Cost Inputs'!$C$2</f>
        <v>0</v>
      </c>
      <c r="Z43" s="7">
        <f ca="1">(IF(Z$6&gt;='Platform Cost Inputs'!$C$3,OFFSET('Cost Calcs'!Z15,0,-'Platform Cost Inputs'!$C$3),0)+IF(Z$6&gt;=('Platform Cost Inputs'!$C$3*2),OFFSET('Cost Calcs'!Z15,0,(-'Platform Cost Inputs'!$C$3*2)),0)+IF(Z$6&gt;=('Platform Cost Inputs'!$C$3*3),OFFSET('Cost Calcs'!Z15,0,(-'Platform Cost Inputs'!$C$3*3)),0))*'Platform Cost Inputs'!$C$2</f>
        <v>0</v>
      </c>
    </row>
    <row r="44" spans="1:26" ht="15.75" x14ac:dyDescent="0.25">
      <c r="A44" t="s">
        <v>98</v>
      </c>
      <c r="B44" t="s">
        <v>7</v>
      </c>
      <c r="C44" s="3" t="s">
        <v>9</v>
      </c>
      <c r="D44" s="24">
        <f t="shared" ca="1" si="50"/>
        <v>0.78477266598318329</v>
      </c>
      <c r="E44" s="59">
        <f t="shared" ca="1" si="18"/>
        <v>1.08186</v>
      </c>
      <c r="F44" s="59"/>
      <c r="G44" s="7">
        <f ca="1">(IF(G$6&gt;='Platform Cost Inputs'!$C$3,OFFSET('Cost Calcs'!G16,0,-'Platform Cost Inputs'!$C$3),0)+IF(G$6&gt;=('Platform Cost Inputs'!$C$3*2),OFFSET('Cost Calcs'!G16,0,(-'Platform Cost Inputs'!$C$3*2)),0)+IF(G$6&gt;=('Platform Cost Inputs'!$C$3*3),OFFSET('Cost Calcs'!G16,0,(-'Platform Cost Inputs'!$C$3*3)),0))*'Platform Cost Inputs'!$C$2</f>
        <v>0</v>
      </c>
      <c r="H44" s="7">
        <f ca="1">(IF(H$6&gt;='Platform Cost Inputs'!$C$3,OFFSET('Cost Calcs'!H16,0,-'Platform Cost Inputs'!$C$3),0)+IF(H$6&gt;=('Platform Cost Inputs'!$C$3*2),OFFSET('Cost Calcs'!H16,0,(-'Platform Cost Inputs'!$C$3*2)),0)+IF(H$6&gt;=('Platform Cost Inputs'!$C$3*3),OFFSET('Cost Calcs'!H16,0,(-'Platform Cost Inputs'!$C$3*3)),0))*'Platform Cost Inputs'!$C$2</f>
        <v>0</v>
      </c>
      <c r="I44" s="7">
        <f ca="1">(IF(I$6&gt;='Platform Cost Inputs'!$C$3,OFFSET('Cost Calcs'!I16,0,-'Platform Cost Inputs'!$C$3),0)+IF(I$6&gt;=('Platform Cost Inputs'!$C$3*2),OFFSET('Cost Calcs'!I16,0,(-'Platform Cost Inputs'!$C$3*2)),0)+IF(I$6&gt;=('Platform Cost Inputs'!$C$3*3),OFFSET('Cost Calcs'!I16,0,(-'Platform Cost Inputs'!$C$3*3)),0))*'Platform Cost Inputs'!$C$2</f>
        <v>0</v>
      </c>
      <c r="J44" s="7">
        <f ca="1">(IF(J$6&gt;='Platform Cost Inputs'!$C$3,OFFSET('Cost Calcs'!J16,0,-'Platform Cost Inputs'!$C$3),0)+IF(J$6&gt;=('Platform Cost Inputs'!$C$3*2),OFFSET('Cost Calcs'!J16,0,(-'Platform Cost Inputs'!$C$3*2)),0)+IF(J$6&gt;=('Platform Cost Inputs'!$C$3*3),OFFSET('Cost Calcs'!J16,0,(-'Platform Cost Inputs'!$C$3*3)),0))*'Platform Cost Inputs'!$C$2</f>
        <v>0</v>
      </c>
      <c r="K44" s="7">
        <f ca="1">(IF(K$6&gt;='Platform Cost Inputs'!$C$3,OFFSET('Cost Calcs'!K16,0,-'Platform Cost Inputs'!$C$3),0)+IF(K$6&gt;=('Platform Cost Inputs'!$C$3*2),OFFSET('Cost Calcs'!K16,0,(-'Platform Cost Inputs'!$C$3*2)),0)+IF(K$6&gt;=('Platform Cost Inputs'!$C$3*3),OFFSET('Cost Calcs'!K16,0,(-'Platform Cost Inputs'!$C$3*3)),0))*'Platform Cost Inputs'!$C$2</f>
        <v>0</v>
      </c>
      <c r="L44" s="7">
        <f ca="1">(IF(L$6&gt;='Platform Cost Inputs'!$C$3,OFFSET('Cost Calcs'!L16,0,-'Platform Cost Inputs'!$C$3),0)+IF(L$6&gt;=('Platform Cost Inputs'!$C$3*2),OFFSET('Cost Calcs'!L16,0,(-'Platform Cost Inputs'!$C$3*2)),0)+IF(L$6&gt;=('Platform Cost Inputs'!$C$3*3),OFFSET('Cost Calcs'!L16,0,(-'Platform Cost Inputs'!$C$3*3)),0))*'Platform Cost Inputs'!$C$2</f>
        <v>0</v>
      </c>
      <c r="M44" s="7">
        <f ca="1">(IF(M$6&gt;='Platform Cost Inputs'!$C$3,OFFSET('Cost Calcs'!M16,0,-'Platform Cost Inputs'!$C$3),0)+IF(M$6&gt;=('Platform Cost Inputs'!$C$3*2),OFFSET('Cost Calcs'!M16,0,(-'Platform Cost Inputs'!$C$3*2)),0)+IF(M$6&gt;=('Platform Cost Inputs'!$C$3*3),OFFSET('Cost Calcs'!M16,0,(-'Platform Cost Inputs'!$C$3*3)),0))*'Platform Cost Inputs'!$C$2</f>
        <v>0</v>
      </c>
      <c r="N44" s="7">
        <f ca="1">(IF(N$6&gt;='Platform Cost Inputs'!$C$3,OFFSET('Cost Calcs'!N16,0,-'Platform Cost Inputs'!$C$3),0)+IF(N$6&gt;=('Platform Cost Inputs'!$C$3*2),OFFSET('Cost Calcs'!N16,0,(-'Platform Cost Inputs'!$C$3*2)),0)+IF(N$6&gt;=('Platform Cost Inputs'!$C$3*3),OFFSET('Cost Calcs'!N16,0,(-'Platform Cost Inputs'!$C$3*3)),0))*'Platform Cost Inputs'!$C$2</f>
        <v>0</v>
      </c>
      <c r="O44" s="7">
        <f ca="1">(IF(O$6&gt;='Platform Cost Inputs'!$C$3,OFFSET('Cost Calcs'!O16,0,-'Platform Cost Inputs'!$C$3),0)+IF(O$6&gt;=('Platform Cost Inputs'!$C$3*2),OFFSET('Cost Calcs'!O16,0,(-'Platform Cost Inputs'!$C$3*2)),0)+IF(O$6&gt;=('Platform Cost Inputs'!$C$3*3),OFFSET('Cost Calcs'!O16,0,(-'Platform Cost Inputs'!$C$3*3)),0))*'Platform Cost Inputs'!$C$2</f>
        <v>0.54093000000000002</v>
      </c>
      <c r="P44" s="7">
        <f ca="1">(IF(P$6&gt;='Platform Cost Inputs'!$C$3,OFFSET('Cost Calcs'!P16,0,-'Platform Cost Inputs'!$C$3),0)+IF(P$6&gt;=('Platform Cost Inputs'!$C$3*2),OFFSET('Cost Calcs'!P16,0,(-'Platform Cost Inputs'!$C$3*2)),0)+IF(P$6&gt;=('Platform Cost Inputs'!$C$3*3),OFFSET('Cost Calcs'!P16,0,(-'Platform Cost Inputs'!$C$3*3)),0))*'Platform Cost Inputs'!$C$2</f>
        <v>0</v>
      </c>
      <c r="Q44" s="7">
        <f ca="1">(IF(Q$6&gt;='Platform Cost Inputs'!$C$3,OFFSET('Cost Calcs'!Q16,0,-'Platform Cost Inputs'!$C$3),0)+IF(Q$6&gt;=('Platform Cost Inputs'!$C$3*2),OFFSET('Cost Calcs'!Q16,0,(-'Platform Cost Inputs'!$C$3*2)),0)+IF(Q$6&gt;=('Platform Cost Inputs'!$C$3*3),OFFSET('Cost Calcs'!Q16,0,(-'Platform Cost Inputs'!$C$3*3)),0))*'Platform Cost Inputs'!$C$2</f>
        <v>0</v>
      </c>
      <c r="R44" s="7">
        <f ca="1">(IF(R$6&gt;='Platform Cost Inputs'!$C$3,OFFSET('Cost Calcs'!R16,0,-'Platform Cost Inputs'!$C$3),0)+IF(R$6&gt;=('Platform Cost Inputs'!$C$3*2),OFFSET('Cost Calcs'!R16,0,(-'Platform Cost Inputs'!$C$3*2)),0)+IF(R$6&gt;=('Platform Cost Inputs'!$C$3*3),OFFSET('Cost Calcs'!R16,0,(-'Platform Cost Inputs'!$C$3*3)),0))*'Platform Cost Inputs'!$C$2</f>
        <v>0</v>
      </c>
      <c r="S44" s="7">
        <f ca="1">(IF(S$6&gt;='Platform Cost Inputs'!$C$3,OFFSET('Cost Calcs'!S16,0,-'Platform Cost Inputs'!$C$3),0)+IF(S$6&gt;=('Platform Cost Inputs'!$C$3*2),OFFSET('Cost Calcs'!S16,0,(-'Platform Cost Inputs'!$C$3*2)),0)+IF(S$6&gt;=('Platform Cost Inputs'!$C$3*3),OFFSET('Cost Calcs'!S16,0,(-'Platform Cost Inputs'!$C$3*3)),0))*'Platform Cost Inputs'!$C$2</f>
        <v>0</v>
      </c>
      <c r="T44" s="7">
        <f ca="1">(IF(T$6&gt;='Platform Cost Inputs'!$C$3,OFFSET('Cost Calcs'!T16,0,-'Platform Cost Inputs'!$C$3),0)+IF(T$6&gt;=('Platform Cost Inputs'!$C$3*2),OFFSET('Cost Calcs'!T16,0,(-'Platform Cost Inputs'!$C$3*2)),0)+IF(T$6&gt;=('Platform Cost Inputs'!$C$3*3),OFFSET('Cost Calcs'!T16,0,(-'Platform Cost Inputs'!$C$3*3)),0))*'Platform Cost Inputs'!$C$2</f>
        <v>0</v>
      </c>
      <c r="U44" s="7">
        <f ca="1">(IF(U$6&gt;='Platform Cost Inputs'!$C$3,OFFSET('Cost Calcs'!U16,0,-'Platform Cost Inputs'!$C$3),0)+IF(U$6&gt;=('Platform Cost Inputs'!$C$3*2),OFFSET('Cost Calcs'!U16,0,(-'Platform Cost Inputs'!$C$3*2)),0)+IF(U$6&gt;=('Platform Cost Inputs'!$C$3*3),OFFSET('Cost Calcs'!U16,0,(-'Platform Cost Inputs'!$C$3*3)),0))*'Platform Cost Inputs'!$C$2</f>
        <v>0</v>
      </c>
      <c r="V44" s="7">
        <f ca="1">(IF(V$6&gt;='Platform Cost Inputs'!$C$3,OFFSET('Cost Calcs'!V16,0,-'Platform Cost Inputs'!$C$3),0)+IF(V$6&gt;=('Platform Cost Inputs'!$C$3*2),OFFSET('Cost Calcs'!V16,0,(-'Platform Cost Inputs'!$C$3*2)),0)+IF(V$6&gt;=('Platform Cost Inputs'!$C$3*3),OFFSET('Cost Calcs'!V16,0,(-'Platform Cost Inputs'!$C$3*3)),0))*'Platform Cost Inputs'!$C$2</f>
        <v>0.54093000000000002</v>
      </c>
      <c r="W44" s="7">
        <f ca="1">(IF(W$6&gt;='Platform Cost Inputs'!$C$3,OFFSET('Cost Calcs'!W16,0,-'Platform Cost Inputs'!$C$3),0)+IF(W$6&gt;=('Platform Cost Inputs'!$C$3*2),OFFSET('Cost Calcs'!W16,0,(-'Platform Cost Inputs'!$C$3*2)),0)+IF(W$6&gt;=('Platform Cost Inputs'!$C$3*3),OFFSET('Cost Calcs'!W16,0,(-'Platform Cost Inputs'!$C$3*3)),0))*'Platform Cost Inputs'!$C$2</f>
        <v>0</v>
      </c>
      <c r="X44" s="7">
        <f ca="1">(IF(X$6&gt;='Platform Cost Inputs'!$C$3,OFFSET('Cost Calcs'!X16,0,-'Platform Cost Inputs'!$C$3),0)+IF(X$6&gt;=('Platform Cost Inputs'!$C$3*2),OFFSET('Cost Calcs'!X16,0,(-'Platform Cost Inputs'!$C$3*2)),0)+IF(X$6&gt;=('Platform Cost Inputs'!$C$3*3),OFFSET('Cost Calcs'!X16,0,(-'Platform Cost Inputs'!$C$3*3)),0))*'Platform Cost Inputs'!$C$2</f>
        <v>0</v>
      </c>
      <c r="Y44" s="7">
        <f ca="1">(IF(Y$6&gt;='Platform Cost Inputs'!$C$3,OFFSET('Cost Calcs'!Y16,0,-'Platform Cost Inputs'!$C$3),0)+IF(Y$6&gt;=('Platform Cost Inputs'!$C$3*2),OFFSET('Cost Calcs'!Y16,0,(-'Platform Cost Inputs'!$C$3*2)),0)+IF(Y$6&gt;=('Platform Cost Inputs'!$C$3*3),OFFSET('Cost Calcs'!Y16,0,(-'Platform Cost Inputs'!$C$3*3)),0))*'Platform Cost Inputs'!$C$2</f>
        <v>0</v>
      </c>
      <c r="Z44" s="7">
        <f ca="1">(IF(Z$6&gt;='Platform Cost Inputs'!$C$3,OFFSET('Cost Calcs'!Z16,0,-'Platform Cost Inputs'!$C$3),0)+IF(Z$6&gt;=('Platform Cost Inputs'!$C$3*2),OFFSET('Cost Calcs'!Z16,0,(-'Platform Cost Inputs'!$C$3*2)),0)+IF(Z$6&gt;=('Platform Cost Inputs'!$C$3*3),OFFSET('Cost Calcs'!Z16,0,(-'Platform Cost Inputs'!$C$3*3)),0))*'Platform Cost Inputs'!$C$2</f>
        <v>0</v>
      </c>
    </row>
    <row r="45" spans="1:26" ht="15.75" x14ac:dyDescent="0.25">
      <c r="A45" t="s">
        <v>320</v>
      </c>
      <c r="B45" t="s">
        <v>7</v>
      </c>
      <c r="C45" s="3" t="s">
        <v>9</v>
      </c>
      <c r="D45" s="24">
        <f t="shared" ca="1" si="50"/>
        <v>2.3397473665909354</v>
      </c>
      <c r="E45" s="59">
        <f t="shared" ca="1" si="18"/>
        <v>3.167424</v>
      </c>
      <c r="F45" s="59"/>
      <c r="G45" s="7">
        <f ca="1">(IF(G$6&gt;='Platform Cost Inputs'!$C$3,OFFSET('Cost Calcs'!G17,0,-'Platform Cost Inputs'!$C$3),0)+IF(G$6&gt;=('Platform Cost Inputs'!$C$3*2),OFFSET('Cost Calcs'!G17,0,(-'Platform Cost Inputs'!$C$3*2)),0)+IF(G$6&gt;=('Platform Cost Inputs'!$C$3*3),OFFSET('Cost Calcs'!G17,0,(-'Platform Cost Inputs'!$C$3*3)),0))*'Platform Cost Inputs'!$C$2</f>
        <v>0</v>
      </c>
      <c r="H45" s="7">
        <f ca="1">(IF(H$6&gt;='Platform Cost Inputs'!$C$3,OFFSET('Cost Calcs'!H17,0,-'Platform Cost Inputs'!$C$3),0)+IF(H$6&gt;=('Platform Cost Inputs'!$C$3*2),OFFSET('Cost Calcs'!H17,0,(-'Platform Cost Inputs'!$C$3*2)),0)+IF(H$6&gt;=('Platform Cost Inputs'!$C$3*3),OFFSET('Cost Calcs'!H17,0,(-'Platform Cost Inputs'!$C$3*3)),0))*'Platform Cost Inputs'!$C$2</f>
        <v>0</v>
      </c>
      <c r="I45" s="7">
        <f ca="1">(IF(I$6&gt;='Platform Cost Inputs'!$C$3,OFFSET('Cost Calcs'!I17,0,-'Platform Cost Inputs'!$C$3),0)+IF(I$6&gt;=('Platform Cost Inputs'!$C$3*2),OFFSET('Cost Calcs'!I17,0,(-'Platform Cost Inputs'!$C$3*2)),0)+IF(I$6&gt;=('Platform Cost Inputs'!$C$3*3),OFFSET('Cost Calcs'!I17,0,(-'Platform Cost Inputs'!$C$3*3)),0))*'Platform Cost Inputs'!$C$2</f>
        <v>0</v>
      </c>
      <c r="J45" s="7">
        <f ca="1">(IF(J$6&gt;='Platform Cost Inputs'!$C$3,OFFSET('Cost Calcs'!J17,0,-'Platform Cost Inputs'!$C$3),0)+IF(J$6&gt;=('Platform Cost Inputs'!$C$3*2),OFFSET('Cost Calcs'!J17,0,(-'Platform Cost Inputs'!$C$3*2)),0)+IF(J$6&gt;=('Platform Cost Inputs'!$C$3*3),OFFSET('Cost Calcs'!J17,0,(-'Platform Cost Inputs'!$C$3*3)),0))*'Platform Cost Inputs'!$C$2</f>
        <v>0</v>
      </c>
      <c r="K45" s="7">
        <f ca="1">(IF(K$6&gt;='Platform Cost Inputs'!$C$3,OFFSET('Cost Calcs'!K17,0,-'Platform Cost Inputs'!$C$3),0)+IF(K$6&gt;=('Platform Cost Inputs'!$C$3*2),OFFSET('Cost Calcs'!K17,0,(-'Platform Cost Inputs'!$C$3*2)),0)+IF(K$6&gt;=('Platform Cost Inputs'!$C$3*3),OFFSET('Cost Calcs'!K17,0,(-'Platform Cost Inputs'!$C$3*3)),0))*'Platform Cost Inputs'!$C$2</f>
        <v>0</v>
      </c>
      <c r="L45" s="7">
        <f ca="1">(IF(L$6&gt;='Platform Cost Inputs'!$C$3,OFFSET('Cost Calcs'!L17,0,-'Platform Cost Inputs'!$C$3),0)+IF(L$6&gt;=('Platform Cost Inputs'!$C$3*2),OFFSET('Cost Calcs'!L17,0,(-'Platform Cost Inputs'!$C$3*2)),0)+IF(L$6&gt;=('Platform Cost Inputs'!$C$3*3),OFFSET('Cost Calcs'!L17,0,(-'Platform Cost Inputs'!$C$3*3)),0))*'Platform Cost Inputs'!$C$2</f>
        <v>0</v>
      </c>
      <c r="M45" s="7">
        <f ca="1">(IF(M$6&gt;='Platform Cost Inputs'!$C$3,OFFSET('Cost Calcs'!M17,0,-'Platform Cost Inputs'!$C$3),0)+IF(M$6&gt;=('Platform Cost Inputs'!$C$3*2),OFFSET('Cost Calcs'!M17,0,(-'Platform Cost Inputs'!$C$3*2)),0)+IF(M$6&gt;=('Platform Cost Inputs'!$C$3*3),OFFSET('Cost Calcs'!M17,0,(-'Platform Cost Inputs'!$C$3*3)),0))*'Platform Cost Inputs'!$C$2</f>
        <v>0</v>
      </c>
      <c r="N45" s="7">
        <f ca="1">(IF(N$6&gt;='Platform Cost Inputs'!$C$3,OFFSET('Cost Calcs'!N17,0,-'Platform Cost Inputs'!$C$3),0)+IF(N$6&gt;=('Platform Cost Inputs'!$C$3*2),OFFSET('Cost Calcs'!N17,0,(-'Platform Cost Inputs'!$C$3*2)),0)+IF(N$6&gt;=('Platform Cost Inputs'!$C$3*3),OFFSET('Cost Calcs'!N17,0,(-'Platform Cost Inputs'!$C$3*3)),0))*'Platform Cost Inputs'!$C$2</f>
        <v>1.0558080000000001</v>
      </c>
      <c r="O45" s="7">
        <f ca="1">(IF(O$6&gt;='Platform Cost Inputs'!$C$3,OFFSET('Cost Calcs'!O17,0,-'Platform Cost Inputs'!$C$3),0)+IF(O$6&gt;=('Platform Cost Inputs'!$C$3*2),OFFSET('Cost Calcs'!O17,0,(-'Platform Cost Inputs'!$C$3*2)),0)+IF(O$6&gt;=('Platform Cost Inputs'!$C$3*3),OFFSET('Cost Calcs'!O17,0,(-'Platform Cost Inputs'!$C$3*3)),0))*'Platform Cost Inputs'!$C$2</f>
        <v>0.52790400000000004</v>
      </c>
      <c r="P45" s="7">
        <f ca="1">(IF(P$6&gt;='Platform Cost Inputs'!$C$3,OFFSET('Cost Calcs'!P17,0,-'Platform Cost Inputs'!$C$3),0)+IF(P$6&gt;=('Platform Cost Inputs'!$C$3*2),OFFSET('Cost Calcs'!P17,0,(-'Platform Cost Inputs'!$C$3*2)),0)+IF(P$6&gt;=('Platform Cost Inputs'!$C$3*3),OFFSET('Cost Calcs'!P17,0,(-'Platform Cost Inputs'!$C$3*3)),0))*'Platform Cost Inputs'!$C$2</f>
        <v>0</v>
      </c>
      <c r="Q45" s="7">
        <f ca="1">(IF(Q$6&gt;='Platform Cost Inputs'!$C$3,OFFSET('Cost Calcs'!Q17,0,-'Platform Cost Inputs'!$C$3),0)+IF(Q$6&gt;=('Platform Cost Inputs'!$C$3*2),OFFSET('Cost Calcs'!Q17,0,(-'Platform Cost Inputs'!$C$3*2)),0)+IF(Q$6&gt;=('Platform Cost Inputs'!$C$3*3),OFFSET('Cost Calcs'!Q17,0,(-'Platform Cost Inputs'!$C$3*3)),0))*'Platform Cost Inputs'!$C$2</f>
        <v>0</v>
      </c>
      <c r="R45" s="7">
        <f ca="1">(IF(R$6&gt;='Platform Cost Inputs'!$C$3,OFFSET('Cost Calcs'!R17,0,-'Platform Cost Inputs'!$C$3),0)+IF(R$6&gt;=('Platform Cost Inputs'!$C$3*2),OFFSET('Cost Calcs'!R17,0,(-'Platform Cost Inputs'!$C$3*2)),0)+IF(R$6&gt;=('Platform Cost Inputs'!$C$3*3),OFFSET('Cost Calcs'!R17,0,(-'Platform Cost Inputs'!$C$3*3)),0))*'Platform Cost Inputs'!$C$2</f>
        <v>0</v>
      </c>
      <c r="S45" s="7">
        <f ca="1">(IF(S$6&gt;='Platform Cost Inputs'!$C$3,OFFSET('Cost Calcs'!S17,0,-'Platform Cost Inputs'!$C$3),0)+IF(S$6&gt;=('Platform Cost Inputs'!$C$3*2),OFFSET('Cost Calcs'!S17,0,(-'Platform Cost Inputs'!$C$3*2)),0)+IF(S$6&gt;=('Platform Cost Inputs'!$C$3*3),OFFSET('Cost Calcs'!S17,0,(-'Platform Cost Inputs'!$C$3*3)),0))*'Platform Cost Inputs'!$C$2</f>
        <v>0</v>
      </c>
      <c r="T45" s="7">
        <f ca="1">(IF(T$6&gt;='Platform Cost Inputs'!$C$3,OFFSET('Cost Calcs'!T17,0,-'Platform Cost Inputs'!$C$3),0)+IF(T$6&gt;=('Platform Cost Inputs'!$C$3*2),OFFSET('Cost Calcs'!T17,0,(-'Platform Cost Inputs'!$C$3*2)),0)+IF(T$6&gt;=('Platform Cost Inputs'!$C$3*3),OFFSET('Cost Calcs'!T17,0,(-'Platform Cost Inputs'!$C$3*3)),0))*'Platform Cost Inputs'!$C$2</f>
        <v>0</v>
      </c>
      <c r="U45" s="7">
        <f ca="1">(IF(U$6&gt;='Platform Cost Inputs'!$C$3,OFFSET('Cost Calcs'!U17,0,-'Platform Cost Inputs'!$C$3),0)+IF(U$6&gt;=('Platform Cost Inputs'!$C$3*2),OFFSET('Cost Calcs'!U17,0,(-'Platform Cost Inputs'!$C$3*2)),0)+IF(U$6&gt;=('Platform Cost Inputs'!$C$3*3),OFFSET('Cost Calcs'!U17,0,(-'Platform Cost Inputs'!$C$3*3)),0))*'Platform Cost Inputs'!$C$2</f>
        <v>1.0558080000000001</v>
      </c>
      <c r="V45" s="7">
        <f ca="1">(IF(V$6&gt;='Platform Cost Inputs'!$C$3,OFFSET('Cost Calcs'!V17,0,-'Platform Cost Inputs'!$C$3),0)+IF(V$6&gt;=('Platform Cost Inputs'!$C$3*2),OFFSET('Cost Calcs'!V17,0,(-'Platform Cost Inputs'!$C$3*2)),0)+IF(V$6&gt;=('Platform Cost Inputs'!$C$3*3),OFFSET('Cost Calcs'!V17,0,(-'Platform Cost Inputs'!$C$3*3)),0))*'Platform Cost Inputs'!$C$2</f>
        <v>0.52790400000000004</v>
      </c>
      <c r="W45" s="7">
        <f ca="1">(IF(W$6&gt;='Platform Cost Inputs'!$C$3,OFFSET('Cost Calcs'!W17,0,-'Platform Cost Inputs'!$C$3),0)+IF(W$6&gt;=('Platform Cost Inputs'!$C$3*2),OFFSET('Cost Calcs'!W17,0,(-'Platform Cost Inputs'!$C$3*2)),0)+IF(W$6&gt;=('Platform Cost Inputs'!$C$3*3),OFFSET('Cost Calcs'!W17,0,(-'Platform Cost Inputs'!$C$3*3)),0))*'Platform Cost Inputs'!$C$2</f>
        <v>0</v>
      </c>
      <c r="X45" s="7">
        <f ca="1">(IF(X$6&gt;='Platform Cost Inputs'!$C$3,OFFSET('Cost Calcs'!X17,0,-'Platform Cost Inputs'!$C$3),0)+IF(X$6&gt;=('Platform Cost Inputs'!$C$3*2),OFFSET('Cost Calcs'!X17,0,(-'Platform Cost Inputs'!$C$3*2)),0)+IF(X$6&gt;=('Platform Cost Inputs'!$C$3*3),OFFSET('Cost Calcs'!X17,0,(-'Platform Cost Inputs'!$C$3*3)),0))*'Platform Cost Inputs'!$C$2</f>
        <v>0</v>
      </c>
      <c r="Y45" s="7">
        <f ca="1">(IF(Y$6&gt;='Platform Cost Inputs'!$C$3,OFFSET('Cost Calcs'!Y17,0,-'Platform Cost Inputs'!$C$3),0)+IF(Y$6&gt;=('Platform Cost Inputs'!$C$3*2),OFFSET('Cost Calcs'!Y17,0,(-'Platform Cost Inputs'!$C$3*2)),0)+IF(Y$6&gt;=('Platform Cost Inputs'!$C$3*3),OFFSET('Cost Calcs'!Y17,0,(-'Platform Cost Inputs'!$C$3*3)),0))*'Platform Cost Inputs'!$C$2</f>
        <v>0</v>
      </c>
      <c r="Z45" s="7">
        <f ca="1">(IF(Z$6&gt;='Platform Cost Inputs'!$C$3,OFFSET('Cost Calcs'!Z17,0,-'Platform Cost Inputs'!$C$3),0)+IF(Z$6&gt;=('Platform Cost Inputs'!$C$3*2),OFFSET('Cost Calcs'!Z17,0,(-'Platform Cost Inputs'!$C$3*2)),0)+IF(Z$6&gt;=('Platform Cost Inputs'!$C$3*3),OFFSET('Cost Calcs'!Z17,0,(-'Platform Cost Inputs'!$C$3*3)),0))*'Platform Cost Inputs'!$C$2</f>
        <v>0</v>
      </c>
    </row>
    <row r="46" spans="1:26" ht="15.75" x14ac:dyDescent="0.25">
      <c r="A46" t="s">
        <v>70</v>
      </c>
      <c r="B46" t="s">
        <v>7</v>
      </c>
      <c r="C46" s="3" t="s">
        <v>9</v>
      </c>
      <c r="D46" s="24">
        <f t="shared" ca="1" si="50"/>
        <v>1.5738831765512291</v>
      </c>
      <c r="E46" s="59">
        <f t="shared" ca="1" si="18"/>
        <v>2.1697000000000002</v>
      </c>
      <c r="F46" s="59"/>
      <c r="G46" s="7">
        <f ca="1">(IF(G$6&gt;='Platform Cost Inputs'!$C$3,OFFSET('Cost Calcs'!G18,0,-'Platform Cost Inputs'!$C$3),0)+IF(G$6&gt;=('Platform Cost Inputs'!$C$3*2),OFFSET('Cost Calcs'!G18,0,(-'Platform Cost Inputs'!$C$3*2)),0)+IF(G$6&gt;=('Platform Cost Inputs'!$C$3*3),OFFSET('Cost Calcs'!G18,0,(-'Platform Cost Inputs'!$C$3*3)),0))*'Platform Cost Inputs'!$C$2</f>
        <v>0</v>
      </c>
      <c r="H46" s="7">
        <f ca="1">(IF(H$6&gt;='Platform Cost Inputs'!$C$3,OFFSET('Cost Calcs'!H18,0,-'Platform Cost Inputs'!$C$3),0)+IF(H$6&gt;=('Platform Cost Inputs'!$C$3*2),OFFSET('Cost Calcs'!H18,0,(-'Platform Cost Inputs'!$C$3*2)),0)+IF(H$6&gt;=('Platform Cost Inputs'!$C$3*3),OFFSET('Cost Calcs'!H18,0,(-'Platform Cost Inputs'!$C$3*3)),0))*'Platform Cost Inputs'!$C$2</f>
        <v>0</v>
      </c>
      <c r="I46" s="7">
        <f ca="1">(IF(I$6&gt;='Platform Cost Inputs'!$C$3,OFFSET('Cost Calcs'!I18,0,-'Platform Cost Inputs'!$C$3),0)+IF(I$6&gt;=('Platform Cost Inputs'!$C$3*2),OFFSET('Cost Calcs'!I18,0,(-'Platform Cost Inputs'!$C$3*2)),0)+IF(I$6&gt;=('Platform Cost Inputs'!$C$3*3),OFFSET('Cost Calcs'!I18,0,(-'Platform Cost Inputs'!$C$3*3)),0))*'Platform Cost Inputs'!$C$2</f>
        <v>0</v>
      </c>
      <c r="J46" s="7">
        <f ca="1">(IF(J$6&gt;='Platform Cost Inputs'!$C$3,OFFSET('Cost Calcs'!J18,0,-'Platform Cost Inputs'!$C$3),0)+IF(J$6&gt;=('Platform Cost Inputs'!$C$3*2),OFFSET('Cost Calcs'!J18,0,(-'Platform Cost Inputs'!$C$3*2)),0)+IF(J$6&gt;=('Platform Cost Inputs'!$C$3*3),OFFSET('Cost Calcs'!J18,0,(-'Platform Cost Inputs'!$C$3*3)),0))*'Platform Cost Inputs'!$C$2</f>
        <v>0</v>
      </c>
      <c r="K46" s="7">
        <f ca="1">(IF(K$6&gt;='Platform Cost Inputs'!$C$3,OFFSET('Cost Calcs'!K18,0,-'Platform Cost Inputs'!$C$3),0)+IF(K$6&gt;=('Platform Cost Inputs'!$C$3*2),OFFSET('Cost Calcs'!K18,0,(-'Platform Cost Inputs'!$C$3*2)),0)+IF(K$6&gt;=('Platform Cost Inputs'!$C$3*3),OFFSET('Cost Calcs'!K18,0,(-'Platform Cost Inputs'!$C$3*3)),0))*'Platform Cost Inputs'!$C$2</f>
        <v>0</v>
      </c>
      <c r="L46" s="7">
        <f ca="1">(IF(L$6&gt;='Platform Cost Inputs'!$C$3,OFFSET('Cost Calcs'!L18,0,-'Platform Cost Inputs'!$C$3),0)+IF(L$6&gt;=('Platform Cost Inputs'!$C$3*2),OFFSET('Cost Calcs'!L18,0,(-'Platform Cost Inputs'!$C$3*2)),0)+IF(L$6&gt;=('Platform Cost Inputs'!$C$3*3),OFFSET('Cost Calcs'!L18,0,(-'Platform Cost Inputs'!$C$3*3)),0))*'Platform Cost Inputs'!$C$2</f>
        <v>0</v>
      </c>
      <c r="M46" s="7">
        <f ca="1">(IF(M$6&gt;='Platform Cost Inputs'!$C$3,OFFSET('Cost Calcs'!M18,0,-'Platform Cost Inputs'!$C$3),0)+IF(M$6&gt;=('Platform Cost Inputs'!$C$3*2),OFFSET('Cost Calcs'!M18,0,(-'Platform Cost Inputs'!$C$3*2)),0)+IF(M$6&gt;=('Platform Cost Inputs'!$C$3*3),OFFSET('Cost Calcs'!M18,0,(-'Platform Cost Inputs'!$C$3*3)),0))*'Platform Cost Inputs'!$C$2</f>
        <v>0</v>
      </c>
      <c r="N46" s="7">
        <f ca="1">(IF(N$6&gt;='Platform Cost Inputs'!$C$3,OFFSET('Cost Calcs'!N18,0,-'Platform Cost Inputs'!$C$3),0)+IF(N$6&gt;=('Platform Cost Inputs'!$C$3*2),OFFSET('Cost Calcs'!N18,0,(-'Platform Cost Inputs'!$C$3*2)),0)+IF(N$6&gt;=('Platform Cost Inputs'!$C$3*3),OFFSET('Cost Calcs'!N18,0,(-'Platform Cost Inputs'!$C$3*3)),0))*'Platform Cost Inputs'!$C$2</f>
        <v>0</v>
      </c>
      <c r="O46" s="7">
        <f ca="1">(IF(O$6&gt;='Platform Cost Inputs'!$C$3,OFFSET('Cost Calcs'!O18,0,-'Platform Cost Inputs'!$C$3),0)+IF(O$6&gt;=('Platform Cost Inputs'!$C$3*2),OFFSET('Cost Calcs'!O18,0,(-'Platform Cost Inputs'!$C$3*2)),0)+IF(O$6&gt;=('Platform Cost Inputs'!$C$3*3),OFFSET('Cost Calcs'!O18,0,(-'Platform Cost Inputs'!$C$3*3)),0))*'Platform Cost Inputs'!$C$2</f>
        <v>1.0848500000000001</v>
      </c>
      <c r="P46" s="7">
        <f ca="1">(IF(P$6&gt;='Platform Cost Inputs'!$C$3,OFFSET('Cost Calcs'!P18,0,-'Platform Cost Inputs'!$C$3),0)+IF(P$6&gt;=('Platform Cost Inputs'!$C$3*2),OFFSET('Cost Calcs'!P18,0,(-'Platform Cost Inputs'!$C$3*2)),0)+IF(P$6&gt;=('Platform Cost Inputs'!$C$3*3),OFFSET('Cost Calcs'!P18,0,(-'Platform Cost Inputs'!$C$3*3)),0))*'Platform Cost Inputs'!$C$2</f>
        <v>0</v>
      </c>
      <c r="Q46" s="7">
        <f ca="1">(IF(Q$6&gt;='Platform Cost Inputs'!$C$3,OFFSET('Cost Calcs'!Q18,0,-'Platform Cost Inputs'!$C$3),0)+IF(Q$6&gt;=('Platform Cost Inputs'!$C$3*2),OFFSET('Cost Calcs'!Q18,0,(-'Platform Cost Inputs'!$C$3*2)),0)+IF(Q$6&gt;=('Platform Cost Inputs'!$C$3*3),OFFSET('Cost Calcs'!Q18,0,(-'Platform Cost Inputs'!$C$3*3)),0))*'Platform Cost Inputs'!$C$2</f>
        <v>0</v>
      </c>
      <c r="R46" s="7">
        <f ca="1">(IF(R$6&gt;='Platform Cost Inputs'!$C$3,OFFSET('Cost Calcs'!R18,0,-'Platform Cost Inputs'!$C$3),0)+IF(R$6&gt;=('Platform Cost Inputs'!$C$3*2),OFFSET('Cost Calcs'!R18,0,(-'Platform Cost Inputs'!$C$3*2)),0)+IF(R$6&gt;=('Platform Cost Inputs'!$C$3*3),OFFSET('Cost Calcs'!R18,0,(-'Platform Cost Inputs'!$C$3*3)),0))*'Platform Cost Inputs'!$C$2</f>
        <v>0</v>
      </c>
      <c r="S46" s="7">
        <f ca="1">(IF(S$6&gt;='Platform Cost Inputs'!$C$3,OFFSET('Cost Calcs'!S18,0,-'Platform Cost Inputs'!$C$3),0)+IF(S$6&gt;=('Platform Cost Inputs'!$C$3*2),OFFSET('Cost Calcs'!S18,0,(-'Platform Cost Inputs'!$C$3*2)),0)+IF(S$6&gt;=('Platform Cost Inputs'!$C$3*3),OFFSET('Cost Calcs'!S18,0,(-'Platform Cost Inputs'!$C$3*3)),0))*'Platform Cost Inputs'!$C$2</f>
        <v>0</v>
      </c>
      <c r="T46" s="7">
        <f ca="1">(IF(T$6&gt;='Platform Cost Inputs'!$C$3,OFFSET('Cost Calcs'!T18,0,-'Platform Cost Inputs'!$C$3),0)+IF(T$6&gt;=('Platform Cost Inputs'!$C$3*2),OFFSET('Cost Calcs'!T18,0,(-'Platform Cost Inputs'!$C$3*2)),0)+IF(T$6&gt;=('Platform Cost Inputs'!$C$3*3),OFFSET('Cost Calcs'!T18,0,(-'Platform Cost Inputs'!$C$3*3)),0))*'Platform Cost Inputs'!$C$2</f>
        <v>0</v>
      </c>
      <c r="U46" s="7">
        <f ca="1">(IF(U$6&gt;='Platform Cost Inputs'!$C$3,OFFSET('Cost Calcs'!U18,0,-'Platform Cost Inputs'!$C$3),0)+IF(U$6&gt;=('Platform Cost Inputs'!$C$3*2),OFFSET('Cost Calcs'!U18,0,(-'Platform Cost Inputs'!$C$3*2)),0)+IF(U$6&gt;=('Platform Cost Inputs'!$C$3*3),OFFSET('Cost Calcs'!U18,0,(-'Platform Cost Inputs'!$C$3*3)),0))*'Platform Cost Inputs'!$C$2</f>
        <v>0</v>
      </c>
      <c r="V46" s="7">
        <f ca="1">(IF(V$6&gt;='Platform Cost Inputs'!$C$3,OFFSET('Cost Calcs'!V18,0,-'Platform Cost Inputs'!$C$3),0)+IF(V$6&gt;=('Platform Cost Inputs'!$C$3*2),OFFSET('Cost Calcs'!V18,0,(-'Platform Cost Inputs'!$C$3*2)),0)+IF(V$6&gt;=('Platform Cost Inputs'!$C$3*3),OFFSET('Cost Calcs'!V18,0,(-'Platform Cost Inputs'!$C$3*3)),0))*'Platform Cost Inputs'!$C$2</f>
        <v>1.0848500000000001</v>
      </c>
      <c r="W46" s="7">
        <f ca="1">(IF(W$6&gt;='Platform Cost Inputs'!$C$3,OFFSET('Cost Calcs'!W18,0,-'Platform Cost Inputs'!$C$3),0)+IF(W$6&gt;=('Platform Cost Inputs'!$C$3*2),OFFSET('Cost Calcs'!W18,0,(-'Platform Cost Inputs'!$C$3*2)),0)+IF(W$6&gt;=('Platform Cost Inputs'!$C$3*3),OFFSET('Cost Calcs'!W18,0,(-'Platform Cost Inputs'!$C$3*3)),0))*'Platform Cost Inputs'!$C$2</f>
        <v>0</v>
      </c>
      <c r="X46" s="7">
        <f ca="1">(IF(X$6&gt;='Platform Cost Inputs'!$C$3,OFFSET('Cost Calcs'!X18,0,-'Platform Cost Inputs'!$C$3),0)+IF(X$6&gt;=('Platform Cost Inputs'!$C$3*2),OFFSET('Cost Calcs'!X18,0,(-'Platform Cost Inputs'!$C$3*2)),0)+IF(X$6&gt;=('Platform Cost Inputs'!$C$3*3),OFFSET('Cost Calcs'!X18,0,(-'Platform Cost Inputs'!$C$3*3)),0))*'Platform Cost Inputs'!$C$2</f>
        <v>0</v>
      </c>
      <c r="Y46" s="7">
        <f ca="1">(IF(Y$6&gt;='Platform Cost Inputs'!$C$3,OFFSET('Cost Calcs'!Y18,0,-'Platform Cost Inputs'!$C$3),0)+IF(Y$6&gt;=('Platform Cost Inputs'!$C$3*2),OFFSET('Cost Calcs'!Y18,0,(-'Platform Cost Inputs'!$C$3*2)),0)+IF(Y$6&gt;=('Platform Cost Inputs'!$C$3*3),OFFSET('Cost Calcs'!Y18,0,(-'Platform Cost Inputs'!$C$3*3)),0))*'Platform Cost Inputs'!$C$2</f>
        <v>0</v>
      </c>
      <c r="Z46" s="7">
        <f ca="1">(IF(Z$6&gt;='Platform Cost Inputs'!$C$3,OFFSET('Cost Calcs'!Z18,0,-'Platform Cost Inputs'!$C$3),0)+IF(Z$6&gt;=('Platform Cost Inputs'!$C$3*2),OFFSET('Cost Calcs'!Z18,0,(-'Platform Cost Inputs'!$C$3*2)),0)+IF(Z$6&gt;=('Platform Cost Inputs'!$C$3*3),OFFSET('Cost Calcs'!Z18,0,(-'Platform Cost Inputs'!$C$3*3)),0))*'Platform Cost Inputs'!$C$2</f>
        <v>0</v>
      </c>
    </row>
    <row r="47" spans="1:26" ht="15.75" x14ac:dyDescent="0.25">
      <c r="A47" t="s">
        <v>105</v>
      </c>
      <c r="B47" t="s">
        <v>7</v>
      </c>
      <c r="C47" s="3" t="s">
        <v>9</v>
      </c>
      <c r="D47" s="24">
        <f t="shared" ca="1" si="50"/>
        <v>0.68188972611496124</v>
      </c>
      <c r="E47" s="59">
        <f t="shared" ca="1" si="18"/>
        <v>0.96587999999999996</v>
      </c>
      <c r="F47" s="59"/>
      <c r="G47" s="7">
        <f ca="1">(IF(G$6&gt;='Platform Cost Inputs'!$C$3,OFFSET('Cost Calcs'!G19,0,-'Platform Cost Inputs'!$C$3),0)+IF(G$6&gt;=('Platform Cost Inputs'!$C$3*2),OFFSET('Cost Calcs'!G19,0,(-'Platform Cost Inputs'!$C$3*2)),0)+IF(G$6&gt;=('Platform Cost Inputs'!$C$3*3),OFFSET('Cost Calcs'!G19,0,(-'Platform Cost Inputs'!$C$3*3)),0))*'Platform Cost Inputs'!$C$2</f>
        <v>0</v>
      </c>
      <c r="H47" s="7">
        <f ca="1">(IF(H$6&gt;='Platform Cost Inputs'!$C$3,OFFSET('Cost Calcs'!H19,0,-'Platform Cost Inputs'!$C$3),0)+IF(H$6&gt;=('Platform Cost Inputs'!$C$3*2),OFFSET('Cost Calcs'!H19,0,(-'Platform Cost Inputs'!$C$3*2)),0)+IF(H$6&gt;=('Platform Cost Inputs'!$C$3*3),OFFSET('Cost Calcs'!H19,0,(-'Platform Cost Inputs'!$C$3*3)),0))*'Platform Cost Inputs'!$C$2</f>
        <v>0</v>
      </c>
      <c r="I47" s="7">
        <f ca="1">(IF(I$6&gt;='Platform Cost Inputs'!$C$3,OFFSET('Cost Calcs'!I19,0,-'Platform Cost Inputs'!$C$3),0)+IF(I$6&gt;=('Platform Cost Inputs'!$C$3*2),OFFSET('Cost Calcs'!I19,0,(-'Platform Cost Inputs'!$C$3*2)),0)+IF(I$6&gt;=('Platform Cost Inputs'!$C$3*3),OFFSET('Cost Calcs'!I19,0,(-'Platform Cost Inputs'!$C$3*3)),0))*'Platform Cost Inputs'!$C$2</f>
        <v>0</v>
      </c>
      <c r="J47" s="7">
        <f ca="1">(IF(J$6&gt;='Platform Cost Inputs'!$C$3,OFFSET('Cost Calcs'!J19,0,-'Platform Cost Inputs'!$C$3),0)+IF(J$6&gt;=('Platform Cost Inputs'!$C$3*2),OFFSET('Cost Calcs'!J19,0,(-'Platform Cost Inputs'!$C$3*2)),0)+IF(J$6&gt;=('Platform Cost Inputs'!$C$3*3),OFFSET('Cost Calcs'!J19,0,(-'Platform Cost Inputs'!$C$3*3)),0))*'Platform Cost Inputs'!$C$2</f>
        <v>0</v>
      </c>
      <c r="K47" s="7">
        <f ca="1">(IF(K$6&gt;='Platform Cost Inputs'!$C$3,OFFSET('Cost Calcs'!K19,0,-'Platform Cost Inputs'!$C$3),0)+IF(K$6&gt;=('Platform Cost Inputs'!$C$3*2),OFFSET('Cost Calcs'!K19,0,(-'Platform Cost Inputs'!$C$3*2)),0)+IF(K$6&gt;=('Platform Cost Inputs'!$C$3*3),OFFSET('Cost Calcs'!K19,0,(-'Platform Cost Inputs'!$C$3*3)),0))*'Platform Cost Inputs'!$C$2</f>
        <v>0</v>
      </c>
      <c r="L47" s="7">
        <f ca="1">(IF(L$6&gt;='Platform Cost Inputs'!$C$3,OFFSET('Cost Calcs'!L19,0,-'Platform Cost Inputs'!$C$3),0)+IF(L$6&gt;=('Platform Cost Inputs'!$C$3*2),OFFSET('Cost Calcs'!L19,0,(-'Platform Cost Inputs'!$C$3*2)),0)+IF(L$6&gt;=('Platform Cost Inputs'!$C$3*3),OFFSET('Cost Calcs'!L19,0,(-'Platform Cost Inputs'!$C$3*3)),0))*'Platform Cost Inputs'!$C$2</f>
        <v>0</v>
      </c>
      <c r="M47" s="7">
        <f ca="1">(IF(M$6&gt;='Platform Cost Inputs'!$C$3,OFFSET('Cost Calcs'!M19,0,-'Platform Cost Inputs'!$C$3),0)+IF(M$6&gt;=('Platform Cost Inputs'!$C$3*2),OFFSET('Cost Calcs'!M19,0,(-'Platform Cost Inputs'!$C$3*2)),0)+IF(M$6&gt;=('Platform Cost Inputs'!$C$3*3),OFFSET('Cost Calcs'!M19,0,(-'Platform Cost Inputs'!$C$3*3)),0))*'Platform Cost Inputs'!$C$2</f>
        <v>0</v>
      </c>
      <c r="N47" s="7">
        <f ca="1">(IF(N$6&gt;='Platform Cost Inputs'!$C$3,OFFSET('Cost Calcs'!N19,0,-'Platform Cost Inputs'!$C$3),0)+IF(N$6&gt;=('Platform Cost Inputs'!$C$3*2),OFFSET('Cost Calcs'!N19,0,(-'Platform Cost Inputs'!$C$3*2)),0)+IF(N$6&gt;=('Platform Cost Inputs'!$C$3*3),OFFSET('Cost Calcs'!N19,0,(-'Platform Cost Inputs'!$C$3*3)),0))*'Platform Cost Inputs'!$C$2</f>
        <v>0</v>
      </c>
      <c r="O47" s="7">
        <f ca="1">(IF(O$6&gt;='Platform Cost Inputs'!$C$3,OFFSET('Cost Calcs'!O19,0,-'Platform Cost Inputs'!$C$3),0)+IF(O$6&gt;=('Platform Cost Inputs'!$C$3*2),OFFSET('Cost Calcs'!O19,0,(-'Platform Cost Inputs'!$C$3*2)),0)+IF(O$6&gt;=('Platform Cost Inputs'!$C$3*3),OFFSET('Cost Calcs'!O19,0,(-'Platform Cost Inputs'!$C$3*3)),0))*'Platform Cost Inputs'!$C$2</f>
        <v>0</v>
      </c>
      <c r="P47" s="7">
        <f ca="1">(IF(P$6&gt;='Platform Cost Inputs'!$C$3,OFFSET('Cost Calcs'!P19,0,-'Platform Cost Inputs'!$C$3),0)+IF(P$6&gt;=('Platform Cost Inputs'!$C$3*2),OFFSET('Cost Calcs'!P19,0,(-'Platform Cost Inputs'!$C$3*2)),0)+IF(P$6&gt;=('Platform Cost Inputs'!$C$3*3),OFFSET('Cost Calcs'!P19,0,(-'Platform Cost Inputs'!$C$3*3)),0))*'Platform Cost Inputs'!$C$2</f>
        <v>0.48293999999999998</v>
      </c>
      <c r="Q47" s="7">
        <f ca="1">(IF(Q$6&gt;='Platform Cost Inputs'!$C$3,OFFSET('Cost Calcs'!Q19,0,-'Platform Cost Inputs'!$C$3),0)+IF(Q$6&gt;=('Platform Cost Inputs'!$C$3*2),OFFSET('Cost Calcs'!Q19,0,(-'Platform Cost Inputs'!$C$3*2)),0)+IF(Q$6&gt;=('Platform Cost Inputs'!$C$3*3),OFFSET('Cost Calcs'!Q19,0,(-'Platform Cost Inputs'!$C$3*3)),0))*'Platform Cost Inputs'!$C$2</f>
        <v>0</v>
      </c>
      <c r="R47" s="7">
        <f ca="1">(IF(R$6&gt;='Platform Cost Inputs'!$C$3,OFFSET('Cost Calcs'!R19,0,-'Platform Cost Inputs'!$C$3),0)+IF(R$6&gt;=('Platform Cost Inputs'!$C$3*2),OFFSET('Cost Calcs'!R19,0,(-'Platform Cost Inputs'!$C$3*2)),0)+IF(R$6&gt;=('Platform Cost Inputs'!$C$3*3),OFFSET('Cost Calcs'!R19,0,(-'Platform Cost Inputs'!$C$3*3)),0))*'Platform Cost Inputs'!$C$2</f>
        <v>0</v>
      </c>
      <c r="S47" s="7">
        <f ca="1">(IF(S$6&gt;='Platform Cost Inputs'!$C$3,OFFSET('Cost Calcs'!S19,0,-'Platform Cost Inputs'!$C$3),0)+IF(S$6&gt;=('Platform Cost Inputs'!$C$3*2),OFFSET('Cost Calcs'!S19,0,(-'Platform Cost Inputs'!$C$3*2)),0)+IF(S$6&gt;=('Platform Cost Inputs'!$C$3*3),OFFSET('Cost Calcs'!S19,0,(-'Platform Cost Inputs'!$C$3*3)),0))*'Platform Cost Inputs'!$C$2</f>
        <v>0</v>
      </c>
      <c r="T47" s="7">
        <f ca="1">(IF(T$6&gt;='Platform Cost Inputs'!$C$3,OFFSET('Cost Calcs'!T19,0,-'Platform Cost Inputs'!$C$3),0)+IF(T$6&gt;=('Platform Cost Inputs'!$C$3*2),OFFSET('Cost Calcs'!T19,0,(-'Platform Cost Inputs'!$C$3*2)),0)+IF(T$6&gt;=('Platform Cost Inputs'!$C$3*3),OFFSET('Cost Calcs'!T19,0,(-'Platform Cost Inputs'!$C$3*3)),0))*'Platform Cost Inputs'!$C$2</f>
        <v>0</v>
      </c>
      <c r="U47" s="7">
        <f ca="1">(IF(U$6&gt;='Platform Cost Inputs'!$C$3,OFFSET('Cost Calcs'!U19,0,-'Platform Cost Inputs'!$C$3),0)+IF(U$6&gt;=('Platform Cost Inputs'!$C$3*2),OFFSET('Cost Calcs'!U19,0,(-'Platform Cost Inputs'!$C$3*2)),0)+IF(U$6&gt;=('Platform Cost Inputs'!$C$3*3),OFFSET('Cost Calcs'!U19,0,(-'Platform Cost Inputs'!$C$3*3)),0))*'Platform Cost Inputs'!$C$2</f>
        <v>0</v>
      </c>
      <c r="V47" s="7">
        <f ca="1">(IF(V$6&gt;='Platform Cost Inputs'!$C$3,OFFSET('Cost Calcs'!V19,0,-'Platform Cost Inputs'!$C$3),0)+IF(V$6&gt;=('Platform Cost Inputs'!$C$3*2),OFFSET('Cost Calcs'!V19,0,(-'Platform Cost Inputs'!$C$3*2)),0)+IF(V$6&gt;=('Platform Cost Inputs'!$C$3*3),OFFSET('Cost Calcs'!V19,0,(-'Platform Cost Inputs'!$C$3*3)),0))*'Platform Cost Inputs'!$C$2</f>
        <v>0</v>
      </c>
      <c r="W47" s="7">
        <f ca="1">(IF(W$6&gt;='Platform Cost Inputs'!$C$3,OFFSET('Cost Calcs'!W19,0,-'Platform Cost Inputs'!$C$3),0)+IF(W$6&gt;=('Platform Cost Inputs'!$C$3*2),OFFSET('Cost Calcs'!W19,0,(-'Platform Cost Inputs'!$C$3*2)),0)+IF(W$6&gt;=('Platform Cost Inputs'!$C$3*3),OFFSET('Cost Calcs'!W19,0,(-'Platform Cost Inputs'!$C$3*3)),0))*'Platform Cost Inputs'!$C$2</f>
        <v>0.48293999999999998</v>
      </c>
      <c r="X47" s="7">
        <f ca="1">(IF(X$6&gt;='Platform Cost Inputs'!$C$3,OFFSET('Cost Calcs'!X19,0,-'Platform Cost Inputs'!$C$3),0)+IF(X$6&gt;=('Platform Cost Inputs'!$C$3*2),OFFSET('Cost Calcs'!X19,0,(-'Platform Cost Inputs'!$C$3*2)),0)+IF(X$6&gt;=('Platform Cost Inputs'!$C$3*3),OFFSET('Cost Calcs'!X19,0,(-'Platform Cost Inputs'!$C$3*3)),0))*'Platform Cost Inputs'!$C$2</f>
        <v>0</v>
      </c>
      <c r="Y47" s="7">
        <f ca="1">(IF(Y$6&gt;='Platform Cost Inputs'!$C$3,OFFSET('Cost Calcs'!Y19,0,-'Platform Cost Inputs'!$C$3),0)+IF(Y$6&gt;=('Platform Cost Inputs'!$C$3*2),OFFSET('Cost Calcs'!Y19,0,(-'Platform Cost Inputs'!$C$3*2)),0)+IF(Y$6&gt;=('Platform Cost Inputs'!$C$3*3),OFFSET('Cost Calcs'!Y19,0,(-'Platform Cost Inputs'!$C$3*3)),0))*'Platform Cost Inputs'!$C$2</f>
        <v>0</v>
      </c>
      <c r="Z47" s="7">
        <f ca="1">(IF(Z$6&gt;='Platform Cost Inputs'!$C$3,OFFSET('Cost Calcs'!Z19,0,-'Platform Cost Inputs'!$C$3),0)+IF(Z$6&gt;=('Platform Cost Inputs'!$C$3*2),OFFSET('Cost Calcs'!Z19,0,(-'Platform Cost Inputs'!$C$3*2)),0)+IF(Z$6&gt;=('Platform Cost Inputs'!$C$3*3),OFFSET('Cost Calcs'!Z19,0,(-'Platform Cost Inputs'!$C$3*3)),0))*'Platform Cost Inputs'!$C$2</f>
        <v>0</v>
      </c>
    </row>
    <row r="48" spans="1:26" ht="15.75" x14ac:dyDescent="0.25">
      <c r="A48" t="s">
        <v>102</v>
      </c>
      <c r="B48" t="s">
        <v>7</v>
      </c>
      <c r="C48" s="3" t="s">
        <v>9</v>
      </c>
      <c r="D48" s="24">
        <f t="shared" ca="1" si="50"/>
        <v>0.75558108880114572</v>
      </c>
      <c r="E48" s="59">
        <f t="shared" ca="1" si="18"/>
        <v>1.070262</v>
      </c>
      <c r="F48" s="59"/>
      <c r="G48" s="7">
        <f ca="1">(IF(G$6&gt;='Platform Cost Inputs'!$C$3,OFFSET('Cost Calcs'!G20,0,-'Platform Cost Inputs'!$C$3),0)+IF(G$6&gt;=('Platform Cost Inputs'!$C$3*2),OFFSET('Cost Calcs'!G20,0,(-'Platform Cost Inputs'!$C$3*2)),0)+IF(G$6&gt;=('Platform Cost Inputs'!$C$3*3),OFFSET('Cost Calcs'!G20,0,(-'Platform Cost Inputs'!$C$3*3)),0))*'Platform Cost Inputs'!$C$2</f>
        <v>0</v>
      </c>
      <c r="H48" s="7">
        <f ca="1">(IF(H$6&gt;='Platform Cost Inputs'!$C$3,OFFSET('Cost Calcs'!H20,0,-'Platform Cost Inputs'!$C$3),0)+IF(H$6&gt;=('Platform Cost Inputs'!$C$3*2),OFFSET('Cost Calcs'!H20,0,(-'Platform Cost Inputs'!$C$3*2)),0)+IF(H$6&gt;=('Platform Cost Inputs'!$C$3*3),OFFSET('Cost Calcs'!H20,0,(-'Platform Cost Inputs'!$C$3*3)),0))*'Platform Cost Inputs'!$C$2</f>
        <v>0</v>
      </c>
      <c r="I48" s="7">
        <f ca="1">(IF(I$6&gt;='Platform Cost Inputs'!$C$3,OFFSET('Cost Calcs'!I20,0,-'Platform Cost Inputs'!$C$3),0)+IF(I$6&gt;=('Platform Cost Inputs'!$C$3*2),OFFSET('Cost Calcs'!I20,0,(-'Platform Cost Inputs'!$C$3*2)),0)+IF(I$6&gt;=('Platform Cost Inputs'!$C$3*3),OFFSET('Cost Calcs'!I20,0,(-'Platform Cost Inputs'!$C$3*3)),0))*'Platform Cost Inputs'!$C$2</f>
        <v>0</v>
      </c>
      <c r="J48" s="7">
        <f ca="1">(IF(J$6&gt;='Platform Cost Inputs'!$C$3,OFFSET('Cost Calcs'!J20,0,-'Platform Cost Inputs'!$C$3),0)+IF(J$6&gt;=('Platform Cost Inputs'!$C$3*2),OFFSET('Cost Calcs'!J20,0,(-'Platform Cost Inputs'!$C$3*2)),0)+IF(J$6&gt;=('Platform Cost Inputs'!$C$3*3),OFFSET('Cost Calcs'!J20,0,(-'Platform Cost Inputs'!$C$3*3)),0))*'Platform Cost Inputs'!$C$2</f>
        <v>0</v>
      </c>
      <c r="K48" s="7">
        <f ca="1">(IF(K$6&gt;='Platform Cost Inputs'!$C$3,OFFSET('Cost Calcs'!K20,0,-'Platform Cost Inputs'!$C$3),0)+IF(K$6&gt;=('Platform Cost Inputs'!$C$3*2),OFFSET('Cost Calcs'!K20,0,(-'Platform Cost Inputs'!$C$3*2)),0)+IF(K$6&gt;=('Platform Cost Inputs'!$C$3*3),OFFSET('Cost Calcs'!K20,0,(-'Platform Cost Inputs'!$C$3*3)),0))*'Platform Cost Inputs'!$C$2</f>
        <v>0</v>
      </c>
      <c r="L48" s="7">
        <f ca="1">(IF(L$6&gt;='Platform Cost Inputs'!$C$3,OFFSET('Cost Calcs'!L20,0,-'Platform Cost Inputs'!$C$3),0)+IF(L$6&gt;=('Platform Cost Inputs'!$C$3*2),OFFSET('Cost Calcs'!L20,0,(-'Platform Cost Inputs'!$C$3*2)),0)+IF(L$6&gt;=('Platform Cost Inputs'!$C$3*3),OFFSET('Cost Calcs'!L20,0,(-'Platform Cost Inputs'!$C$3*3)),0))*'Platform Cost Inputs'!$C$2</f>
        <v>0</v>
      </c>
      <c r="M48" s="7">
        <f ca="1">(IF(M$6&gt;='Platform Cost Inputs'!$C$3,OFFSET('Cost Calcs'!M20,0,-'Platform Cost Inputs'!$C$3),0)+IF(M$6&gt;=('Platform Cost Inputs'!$C$3*2),OFFSET('Cost Calcs'!M20,0,(-'Platform Cost Inputs'!$C$3*2)),0)+IF(M$6&gt;=('Platform Cost Inputs'!$C$3*3),OFFSET('Cost Calcs'!M20,0,(-'Platform Cost Inputs'!$C$3*3)),0))*'Platform Cost Inputs'!$C$2</f>
        <v>0</v>
      </c>
      <c r="N48" s="7">
        <f ca="1">(IF(N$6&gt;='Platform Cost Inputs'!$C$3,OFFSET('Cost Calcs'!N20,0,-'Platform Cost Inputs'!$C$3),0)+IF(N$6&gt;=('Platform Cost Inputs'!$C$3*2),OFFSET('Cost Calcs'!N20,0,(-'Platform Cost Inputs'!$C$3*2)),0)+IF(N$6&gt;=('Platform Cost Inputs'!$C$3*3),OFFSET('Cost Calcs'!N20,0,(-'Platform Cost Inputs'!$C$3*3)),0))*'Platform Cost Inputs'!$C$2</f>
        <v>0</v>
      </c>
      <c r="O48" s="7">
        <f ca="1">(IF(O$6&gt;='Platform Cost Inputs'!$C$3,OFFSET('Cost Calcs'!O20,0,-'Platform Cost Inputs'!$C$3),0)+IF(O$6&gt;=('Platform Cost Inputs'!$C$3*2),OFFSET('Cost Calcs'!O20,0,(-'Platform Cost Inputs'!$C$3*2)),0)+IF(O$6&gt;=('Platform Cost Inputs'!$C$3*3),OFFSET('Cost Calcs'!O20,0,(-'Platform Cost Inputs'!$C$3*3)),0))*'Platform Cost Inputs'!$C$2</f>
        <v>0</v>
      </c>
      <c r="P48" s="7">
        <f ca="1">(IF(P$6&gt;='Platform Cost Inputs'!$C$3,OFFSET('Cost Calcs'!P20,0,-'Platform Cost Inputs'!$C$3),0)+IF(P$6&gt;=('Platform Cost Inputs'!$C$3*2),OFFSET('Cost Calcs'!P20,0,(-'Platform Cost Inputs'!$C$3*2)),0)+IF(P$6&gt;=('Platform Cost Inputs'!$C$3*3),OFFSET('Cost Calcs'!P20,0,(-'Platform Cost Inputs'!$C$3*3)),0))*'Platform Cost Inputs'!$C$2</f>
        <v>0.53513100000000002</v>
      </c>
      <c r="Q48" s="7">
        <f ca="1">(IF(Q$6&gt;='Platform Cost Inputs'!$C$3,OFFSET('Cost Calcs'!Q20,0,-'Platform Cost Inputs'!$C$3),0)+IF(Q$6&gt;=('Platform Cost Inputs'!$C$3*2),OFFSET('Cost Calcs'!Q20,0,(-'Platform Cost Inputs'!$C$3*2)),0)+IF(Q$6&gt;=('Platform Cost Inputs'!$C$3*3),OFFSET('Cost Calcs'!Q20,0,(-'Platform Cost Inputs'!$C$3*3)),0))*'Platform Cost Inputs'!$C$2</f>
        <v>0</v>
      </c>
      <c r="R48" s="7">
        <f ca="1">(IF(R$6&gt;='Platform Cost Inputs'!$C$3,OFFSET('Cost Calcs'!R20,0,-'Platform Cost Inputs'!$C$3),0)+IF(R$6&gt;=('Platform Cost Inputs'!$C$3*2),OFFSET('Cost Calcs'!R20,0,(-'Platform Cost Inputs'!$C$3*2)),0)+IF(R$6&gt;=('Platform Cost Inputs'!$C$3*3),OFFSET('Cost Calcs'!R20,0,(-'Platform Cost Inputs'!$C$3*3)),0))*'Platform Cost Inputs'!$C$2</f>
        <v>0</v>
      </c>
      <c r="S48" s="7">
        <f ca="1">(IF(S$6&gt;='Platform Cost Inputs'!$C$3,OFFSET('Cost Calcs'!S20,0,-'Platform Cost Inputs'!$C$3),0)+IF(S$6&gt;=('Platform Cost Inputs'!$C$3*2),OFFSET('Cost Calcs'!S20,0,(-'Platform Cost Inputs'!$C$3*2)),0)+IF(S$6&gt;=('Platform Cost Inputs'!$C$3*3),OFFSET('Cost Calcs'!S20,0,(-'Platform Cost Inputs'!$C$3*3)),0))*'Platform Cost Inputs'!$C$2</f>
        <v>0</v>
      </c>
      <c r="T48" s="7">
        <f ca="1">(IF(T$6&gt;='Platform Cost Inputs'!$C$3,OFFSET('Cost Calcs'!T20,0,-'Platform Cost Inputs'!$C$3),0)+IF(T$6&gt;=('Platform Cost Inputs'!$C$3*2),OFFSET('Cost Calcs'!T20,0,(-'Platform Cost Inputs'!$C$3*2)),0)+IF(T$6&gt;=('Platform Cost Inputs'!$C$3*3),OFFSET('Cost Calcs'!T20,0,(-'Platform Cost Inputs'!$C$3*3)),0))*'Platform Cost Inputs'!$C$2</f>
        <v>0</v>
      </c>
      <c r="U48" s="7">
        <f ca="1">(IF(U$6&gt;='Platform Cost Inputs'!$C$3,OFFSET('Cost Calcs'!U20,0,-'Platform Cost Inputs'!$C$3),0)+IF(U$6&gt;=('Platform Cost Inputs'!$C$3*2),OFFSET('Cost Calcs'!U20,0,(-'Platform Cost Inputs'!$C$3*2)),0)+IF(U$6&gt;=('Platform Cost Inputs'!$C$3*3),OFFSET('Cost Calcs'!U20,0,(-'Platform Cost Inputs'!$C$3*3)),0))*'Platform Cost Inputs'!$C$2</f>
        <v>0</v>
      </c>
      <c r="V48" s="7">
        <f ca="1">(IF(V$6&gt;='Platform Cost Inputs'!$C$3,OFFSET('Cost Calcs'!V20,0,-'Platform Cost Inputs'!$C$3),0)+IF(V$6&gt;=('Platform Cost Inputs'!$C$3*2),OFFSET('Cost Calcs'!V20,0,(-'Platform Cost Inputs'!$C$3*2)),0)+IF(V$6&gt;=('Platform Cost Inputs'!$C$3*3),OFFSET('Cost Calcs'!V20,0,(-'Platform Cost Inputs'!$C$3*3)),0))*'Platform Cost Inputs'!$C$2</f>
        <v>0</v>
      </c>
      <c r="W48" s="7">
        <f ca="1">(IF(W$6&gt;='Platform Cost Inputs'!$C$3,OFFSET('Cost Calcs'!W20,0,-'Platform Cost Inputs'!$C$3),0)+IF(W$6&gt;=('Platform Cost Inputs'!$C$3*2),OFFSET('Cost Calcs'!W20,0,(-'Platform Cost Inputs'!$C$3*2)),0)+IF(W$6&gt;=('Platform Cost Inputs'!$C$3*3),OFFSET('Cost Calcs'!W20,0,(-'Platform Cost Inputs'!$C$3*3)),0))*'Platform Cost Inputs'!$C$2</f>
        <v>0.53513100000000002</v>
      </c>
      <c r="X48" s="7">
        <f ca="1">(IF(X$6&gt;='Platform Cost Inputs'!$C$3,OFFSET('Cost Calcs'!X20,0,-'Platform Cost Inputs'!$C$3),0)+IF(X$6&gt;=('Platform Cost Inputs'!$C$3*2),OFFSET('Cost Calcs'!X20,0,(-'Platform Cost Inputs'!$C$3*2)),0)+IF(X$6&gt;=('Platform Cost Inputs'!$C$3*3),OFFSET('Cost Calcs'!X20,0,(-'Platform Cost Inputs'!$C$3*3)),0))*'Platform Cost Inputs'!$C$2</f>
        <v>0</v>
      </c>
      <c r="Y48" s="7">
        <f ca="1">(IF(Y$6&gt;='Platform Cost Inputs'!$C$3,OFFSET('Cost Calcs'!Y20,0,-'Platform Cost Inputs'!$C$3),0)+IF(Y$6&gt;=('Platform Cost Inputs'!$C$3*2),OFFSET('Cost Calcs'!Y20,0,(-'Platform Cost Inputs'!$C$3*2)),0)+IF(Y$6&gt;=('Platform Cost Inputs'!$C$3*3),OFFSET('Cost Calcs'!Y20,0,(-'Platform Cost Inputs'!$C$3*3)),0))*'Platform Cost Inputs'!$C$2</f>
        <v>0</v>
      </c>
      <c r="Z48" s="7">
        <f ca="1">(IF(Z$6&gt;='Platform Cost Inputs'!$C$3,OFFSET('Cost Calcs'!Z20,0,-'Platform Cost Inputs'!$C$3),0)+IF(Z$6&gt;=('Platform Cost Inputs'!$C$3*2),OFFSET('Cost Calcs'!Z20,0,(-'Platform Cost Inputs'!$C$3*2)),0)+IF(Z$6&gt;=('Platform Cost Inputs'!$C$3*3),OFFSET('Cost Calcs'!Z20,0,(-'Platform Cost Inputs'!$C$3*3)),0))*'Platform Cost Inputs'!$C$2</f>
        <v>0</v>
      </c>
    </row>
    <row r="49" spans="1:26" ht="15.75" x14ac:dyDescent="0.25">
      <c r="A49" t="s">
        <v>319</v>
      </c>
      <c r="B49" t="s">
        <v>7</v>
      </c>
      <c r="C49" s="3" t="s">
        <v>9</v>
      </c>
      <c r="D49" s="24">
        <f t="shared" ca="1" si="50"/>
        <v>0.74824033283545277</v>
      </c>
      <c r="E49" s="59">
        <f t="shared" ca="1" si="18"/>
        <v>1.0598639999999999</v>
      </c>
      <c r="F49" s="59"/>
      <c r="G49" s="7">
        <f ca="1">(IF(G$6&gt;='Platform Cost Inputs'!$C$3,OFFSET('Cost Calcs'!G21,0,-'Platform Cost Inputs'!$C$3),0)+IF(G$6&gt;=('Platform Cost Inputs'!$C$3*2),OFFSET('Cost Calcs'!G21,0,(-'Platform Cost Inputs'!$C$3*2)),0)+IF(G$6&gt;=('Platform Cost Inputs'!$C$3*3),OFFSET('Cost Calcs'!G21,0,(-'Platform Cost Inputs'!$C$3*3)),0))*'Platform Cost Inputs'!$C$2</f>
        <v>0</v>
      </c>
      <c r="H49" s="7">
        <f ca="1">(IF(H$6&gt;='Platform Cost Inputs'!$C$3,OFFSET('Cost Calcs'!H21,0,-'Platform Cost Inputs'!$C$3),0)+IF(H$6&gt;=('Platform Cost Inputs'!$C$3*2),OFFSET('Cost Calcs'!H21,0,(-'Platform Cost Inputs'!$C$3*2)),0)+IF(H$6&gt;=('Platform Cost Inputs'!$C$3*3),OFFSET('Cost Calcs'!H21,0,(-'Platform Cost Inputs'!$C$3*3)),0))*'Platform Cost Inputs'!$C$2</f>
        <v>0</v>
      </c>
      <c r="I49" s="7">
        <f ca="1">(IF(I$6&gt;='Platform Cost Inputs'!$C$3,OFFSET('Cost Calcs'!I21,0,-'Platform Cost Inputs'!$C$3),0)+IF(I$6&gt;=('Platform Cost Inputs'!$C$3*2),OFFSET('Cost Calcs'!I21,0,(-'Platform Cost Inputs'!$C$3*2)),0)+IF(I$6&gt;=('Platform Cost Inputs'!$C$3*3),OFFSET('Cost Calcs'!I21,0,(-'Platform Cost Inputs'!$C$3*3)),0))*'Platform Cost Inputs'!$C$2</f>
        <v>0</v>
      </c>
      <c r="J49" s="7">
        <f ca="1">(IF(J$6&gt;='Platform Cost Inputs'!$C$3,OFFSET('Cost Calcs'!J21,0,-'Platform Cost Inputs'!$C$3),0)+IF(J$6&gt;=('Platform Cost Inputs'!$C$3*2),OFFSET('Cost Calcs'!J21,0,(-'Platform Cost Inputs'!$C$3*2)),0)+IF(J$6&gt;=('Platform Cost Inputs'!$C$3*3),OFFSET('Cost Calcs'!J21,0,(-'Platform Cost Inputs'!$C$3*3)),0))*'Platform Cost Inputs'!$C$2</f>
        <v>0</v>
      </c>
      <c r="K49" s="7">
        <f ca="1">(IF(K$6&gt;='Platform Cost Inputs'!$C$3,OFFSET('Cost Calcs'!K21,0,-'Platform Cost Inputs'!$C$3),0)+IF(K$6&gt;=('Platform Cost Inputs'!$C$3*2),OFFSET('Cost Calcs'!K21,0,(-'Platform Cost Inputs'!$C$3*2)),0)+IF(K$6&gt;=('Platform Cost Inputs'!$C$3*3),OFFSET('Cost Calcs'!K21,0,(-'Platform Cost Inputs'!$C$3*3)),0))*'Platform Cost Inputs'!$C$2</f>
        <v>0</v>
      </c>
      <c r="L49" s="7">
        <f ca="1">(IF(L$6&gt;='Platform Cost Inputs'!$C$3,OFFSET('Cost Calcs'!L21,0,-'Platform Cost Inputs'!$C$3),0)+IF(L$6&gt;=('Platform Cost Inputs'!$C$3*2),OFFSET('Cost Calcs'!L21,0,(-'Platform Cost Inputs'!$C$3*2)),0)+IF(L$6&gt;=('Platform Cost Inputs'!$C$3*3),OFFSET('Cost Calcs'!L21,0,(-'Platform Cost Inputs'!$C$3*3)),0))*'Platform Cost Inputs'!$C$2</f>
        <v>0</v>
      </c>
      <c r="M49" s="7">
        <f ca="1">(IF(M$6&gt;='Platform Cost Inputs'!$C$3,OFFSET('Cost Calcs'!M21,0,-'Platform Cost Inputs'!$C$3),0)+IF(M$6&gt;=('Platform Cost Inputs'!$C$3*2),OFFSET('Cost Calcs'!M21,0,(-'Platform Cost Inputs'!$C$3*2)),0)+IF(M$6&gt;=('Platform Cost Inputs'!$C$3*3),OFFSET('Cost Calcs'!M21,0,(-'Platform Cost Inputs'!$C$3*3)),0))*'Platform Cost Inputs'!$C$2</f>
        <v>0</v>
      </c>
      <c r="N49" s="7">
        <f ca="1">(IF(N$6&gt;='Platform Cost Inputs'!$C$3,OFFSET('Cost Calcs'!N21,0,-'Platform Cost Inputs'!$C$3),0)+IF(N$6&gt;=('Platform Cost Inputs'!$C$3*2),OFFSET('Cost Calcs'!N21,0,(-'Platform Cost Inputs'!$C$3*2)),0)+IF(N$6&gt;=('Platform Cost Inputs'!$C$3*3),OFFSET('Cost Calcs'!N21,0,(-'Platform Cost Inputs'!$C$3*3)),0))*'Platform Cost Inputs'!$C$2</f>
        <v>0</v>
      </c>
      <c r="O49" s="7">
        <f ca="1">(IF(O$6&gt;='Platform Cost Inputs'!$C$3,OFFSET('Cost Calcs'!O21,0,-'Platform Cost Inputs'!$C$3),0)+IF(O$6&gt;=('Platform Cost Inputs'!$C$3*2),OFFSET('Cost Calcs'!O21,0,(-'Platform Cost Inputs'!$C$3*2)),0)+IF(O$6&gt;=('Platform Cost Inputs'!$C$3*3),OFFSET('Cost Calcs'!O21,0,(-'Platform Cost Inputs'!$C$3*3)),0))*'Platform Cost Inputs'!$C$2</f>
        <v>0</v>
      </c>
      <c r="P49" s="7">
        <f ca="1">(IF(P$6&gt;='Platform Cost Inputs'!$C$3,OFFSET('Cost Calcs'!P21,0,-'Platform Cost Inputs'!$C$3),0)+IF(P$6&gt;=('Platform Cost Inputs'!$C$3*2),OFFSET('Cost Calcs'!P21,0,(-'Platform Cost Inputs'!$C$3*2)),0)+IF(P$6&gt;=('Platform Cost Inputs'!$C$3*3),OFFSET('Cost Calcs'!P21,0,(-'Platform Cost Inputs'!$C$3*3)),0))*'Platform Cost Inputs'!$C$2</f>
        <v>0.52993199999999996</v>
      </c>
      <c r="Q49" s="7">
        <f ca="1">(IF(Q$6&gt;='Platform Cost Inputs'!$C$3,OFFSET('Cost Calcs'!Q21,0,-'Platform Cost Inputs'!$C$3),0)+IF(Q$6&gt;=('Platform Cost Inputs'!$C$3*2),OFFSET('Cost Calcs'!Q21,0,(-'Platform Cost Inputs'!$C$3*2)),0)+IF(Q$6&gt;=('Platform Cost Inputs'!$C$3*3),OFFSET('Cost Calcs'!Q21,0,(-'Platform Cost Inputs'!$C$3*3)),0))*'Platform Cost Inputs'!$C$2</f>
        <v>0</v>
      </c>
      <c r="R49" s="7">
        <f ca="1">(IF(R$6&gt;='Platform Cost Inputs'!$C$3,OFFSET('Cost Calcs'!R21,0,-'Platform Cost Inputs'!$C$3),0)+IF(R$6&gt;=('Platform Cost Inputs'!$C$3*2),OFFSET('Cost Calcs'!R21,0,(-'Platform Cost Inputs'!$C$3*2)),0)+IF(R$6&gt;=('Platform Cost Inputs'!$C$3*3),OFFSET('Cost Calcs'!R21,0,(-'Platform Cost Inputs'!$C$3*3)),0))*'Platform Cost Inputs'!$C$2</f>
        <v>0</v>
      </c>
      <c r="S49" s="7">
        <f ca="1">(IF(S$6&gt;='Platform Cost Inputs'!$C$3,OFFSET('Cost Calcs'!S21,0,-'Platform Cost Inputs'!$C$3),0)+IF(S$6&gt;=('Platform Cost Inputs'!$C$3*2),OFFSET('Cost Calcs'!S21,0,(-'Platform Cost Inputs'!$C$3*2)),0)+IF(S$6&gt;=('Platform Cost Inputs'!$C$3*3),OFFSET('Cost Calcs'!S21,0,(-'Platform Cost Inputs'!$C$3*3)),0))*'Platform Cost Inputs'!$C$2</f>
        <v>0</v>
      </c>
      <c r="T49" s="7">
        <f ca="1">(IF(T$6&gt;='Platform Cost Inputs'!$C$3,OFFSET('Cost Calcs'!T21,0,-'Platform Cost Inputs'!$C$3),0)+IF(T$6&gt;=('Platform Cost Inputs'!$C$3*2),OFFSET('Cost Calcs'!T21,0,(-'Platform Cost Inputs'!$C$3*2)),0)+IF(T$6&gt;=('Platform Cost Inputs'!$C$3*3),OFFSET('Cost Calcs'!T21,0,(-'Platform Cost Inputs'!$C$3*3)),0))*'Platform Cost Inputs'!$C$2</f>
        <v>0</v>
      </c>
      <c r="U49" s="7">
        <f ca="1">(IF(U$6&gt;='Platform Cost Inputs'!$C$3,OFFSET('Cost Calcs'!U21,0,-'Platform Cost Inputs'!$C$3),0)+IF(U$6&gt;=('Platform Cost Inputs'!$C$3*2),OFFSET('Cost Calcs'!U21,0,(-'Platform Cost Inputs'!$C$3*2)),0)+IF(U$6&gt;=('Platform Cost Inputs'!$C$3*3),OFFSET('Cost Calcs'!U21,0,(-'Platform Cost Inputs'!$C$3*3)),0))*'Platform Cost Inputs'!$C$2</f>
        <v>0</v>
      </c>
      <c r="V49" s="7">
        <f ca="1">(IF(V$6&gt;='Platform Cost Inputs'!$C$3,OFFSET('Cost Calcs'!V21,0,-'Platform Cost Inputs'!$C$3),0)+IF(V$6&gt;=('Platform Cost Inputs'!$C$3*2),OFFSET('Cost Calcs'!V21,0,(-'Platform Cost Inputs'!$C$3*2)),0)+IF(V$6&gt;=('Platform Cost Inputs'!$C$3*3),OFFSET('Cost Calcs'!V21,0,(-'Platform Cost Inputs'!$C$3*3)),0))*'Platform Cost Inputs'!$C$2</f>
        <v>0</v>
      </c>
      <c r="W49" s="7">
        <f ca="1">(IF(W$6&gt;='Platform Cost Inputs'!$C$3,OFFSET('Cost Calcs'!W21,0,-'Platform Cost Inputs'!$C$3),0)+IF(W$6&gt;=('Platform Cost Inputs'!$C$3*2),OFFSET('Cost Calcs'!W21,0,(-'Platform Cost Inputs'!$C$3*2)),0)+IF(W$6&gt;=('Platform Cost Inputs'!$C$3*3),OFFSET('Cost Calcs'!W21,0,(-'Platform Cost Inputs'!$C$3*3)),0))*'Platform Cost Inputs'!$C$2</f>
        <v>0.52993199999999996</v>
      </c>
      <c r="X49" s="7">
        <f ca="1">(IF(X$6&gt;='Platform Cost Inputs'!$C$3,OFFSET('Cost Calcs'!X21,0,-'Platform Cost Inputs'!$C$3),0)+IF(X$6&gt;=('Platform Cost Inputs'!$C$3*2),OFFSET('Cost Calcs'!X21,0,(-'Platform Cost Inputs'!$C$3*2)),0)+IF(X$6&gt;=('Platform Cost Inputs'!$C$3*3),OFFSET('Cost Calcs'!X21,0,(-'Platform Cost Inputs'!$C$3*3)),0))*'Platform Cost Inputs'!$C$2</f>
        <v>0</v>
      </c>
      <c r="Y49" s="7">
        <f ca="1">(IF(Y$6&gt;='Platform Cost Inputs'!$C$3,OFFSET('Cost Calcs'!Y21,0,-'Platform Cost Inputs'!$C$3),0)+IF(Y$6&gt;=('Platform Cost Inputs'!$C$3*2),OFFSET('Cost Calcs'!Y21,0,(-'Platform Cost Inputs'!$C$3*2)),0)+IF(Y$6&gt;=('Platform Cost Inputs'!$C$3*3),OFFSET('Cost Calcs'!Y21,0,(-'Platform Cost Inputs'!$C$3*3)),0))*'Platform Cost Inputs'!$C$2</f>
        <v>0</v>
      </c>
      <c r="Z49" s="7">
        <f ca="1">(IF(Z$6&gt;='Platform Cost Inputs'!$C$3,OFFSET('Cost Calcs'!Z21,0,-'Platform Cost Inputs'!$C$3),0)+IF(Z$6&gt;=('Platform Cost Inputs'!$C$3*2),OFFSET('Cost Calcs'!Z21,0,(-'Platform Cost Inputs'!$C$3*2)),0)+IF(Z$6&gt;=('Platform Cost Inputs'!$C$3*3),OFFSET('Cost Calcs'!Z21,0,(-'Platform Cost Inputs'!$C$3*3)),0))*'Platform Cost Inputs'!$C$2</f>
        <v>0</v>
      </c>
    </row>
    <row r="50" spans="1:26" ht="15.75" x14ac:dyDescent="0.25">
      <c r="A50" t="s">
        <v>321</v>
      </c>
      <c r="B50" t="s">
        <v>7</v>
      </c>
      <c r="C50" s="3" t="s">
        <v>9</v>
      </c>
      <c r="D50" s="24">
        <f t="shared" ca="1" si="50"/>
        <v>0.7154087752470224</v>
      </c>
      <c r="E50" s="59">
        <f t="shared" ca="1" si="18"/>
        <v>1.06986</v>
      </c>
      <c r="F50" s="59"/>
      <c r="G50" s="7">
        <f ca="1">(IF(G$6&gt;='Platform Cost Inputs'!$C$3,OFFSET('Cost Calcs'!G22,0,-'Platform Cost Inputs'!$C$3),0)+IF(G$6&gt;=('Platform Cost Inputs'!$C$3*2),OFFSET('Cost Calcs'!G22,0,(-'Platform Cost Inputs'!$C$3*2)),0)+IF(G$6&gt;=('Platform Cost Inputs'!$C$3*3),OFFSET('Cost Calcs'!G22,0,(-'Platform Cost Inputs'!$C$3*3)),0))*'Platform Cost Inputs'!$C$2</f>
        <v>0</v>
      </c>
      <c r="H50" s="7">
        <f ca="1">(IF(H$6&gt;='Platform Cost Inputs'!$C$3,OFFSET('Cost Calcs'!H22,0,-'Platform Cost Inputs'!$C$3),0)+IF(H$6&gt;=('Platform Cost Inputs'!$C$3*2),OFFSET('Cost Calcs'!H22,0,(-'Platform Cost Inputs'!$C$3*2)),0)+IF(H$6&gt;=('Platform Cost Inputs'!$C$3*3),OFFSET('Cost Calcs'!H22,0,(-'Platform Cost Inputs'!$C$3*3)),0))*'Platform Cost Inputs'!$C$2</f>
        <v>0</v>
      </c>
      <c r="I50" s="7">
        <f ca="1">(IF(I$6&gt;='Platform Cost Inputs'!$C$3,OFFSET('Cost Calcs'!I22,0,-'Platform Cost Inputs'!$C$3),0)+IF(I$6&gt;=('Platform Cost Inputs'!$C$3*2),OFFSET('Cost Calcs'!I22,0,(-'Platform Cost Inputs'!$C$3*2)),0)+IF(I$6&gt;=('Platform Cost Inputs'!$C$3*3),OFFSET('Cost Calcs'!I22,0,(-'Platform Cost Inputs'!$C$3*3)),0))*'Platform Cost Inputs'!$C$2</f>
        <v>0</v>
      </c>
      <c r="J50" s="7">
        <f ca="1">(IF(J$6&gt;='Platform Cost Inputs'!$C$3,OFFSET('Cost Calcs'!J22,0,-'Platform Cost Inputs'!$C$3),0)+IF(J$6&gt;=('Platform Cost Inputs'!$C$3*2),OFFSET('Cost Calcs'!J22,0,(-'Platform Cost Inputs'!$C$3*2)),0)+IF(J$6&gt;=('Platform Cost Inputs'!$C$3*3),OFFSET('Cost Calcs'!J22,0,(-'Platform Cost Inputs'!$C$3*3)),0))*'Platform Cost Inputs'!$C$2</f>
        <v>0</v>
      </c>
      <c r="K50" s="7">
        <f ca="1">(IF(K$6&gt;='Platform Cost Inputs'!$C$3,OFFSET('Cost Calcs'!K22,0,-'Platform Cost Inputs'!$C$3),0)+IF(K$6&gt;=('Platform Cost Inputs'!$C$3*2),OFFSET('Cost Calcs'!K22,0,(-'Platform Cost Inputs'!$C$3*2)),0)+IF(K$6&gt;=('Platform Cost Inputs'!$C$3*3),OFFSET('Cost Calcs'!K22,0,(-'Platform Cost Inputs'!$C$3*3)),0))*'Platform Cost Inputs'!$C$2</f>
        <v>0</v>
      </c>
      <c r="L50" s="7">
        <f ca="1">(IF(L$6&gt;='Platform Cost Inputs'!$C$3,OFFSET('Cost Calcs'!L22,0,-'Platform Cost Inputs'!$C$3),0)+IF(L$6&gt;=('Platform Cost Inputs'!$C$3*2),OFFSET('Cost Calcs'!L22,0,(-'Platform Cost Inputs'!$C$3*2)),0)+IF(L$6&gt;=('Platform Cost Inputs'!$C$3*3),OFFSET('Cost Calcs'!L22,0,(-'Platform Cost Inputs'!$C$3*3)),0))*'Platform Cost Inputs'!$C$2</f>
        <v>0</v>
      </c>
      <c r="M50" s="7">
        <f ca="1">(IF(M$6&gt;='Platform Cost Inputs'!$C$3,OFFSET('Cost Calcs'!M22,0,-'Platform Cost Inputs'!$C$3),0)+IF(M$6&gt;=('Platform Cost Inputs'!$C$3*2),OFFSET('Cost Calcs'!M22,0,(-'Platform Cost Inputs'!$C$3*2)),0)+IF(M$6&gt;=('Platform Cost Inputs'!$C$3*3),OFFSET('Cost Calcs'!M22,0,(-'Platform Cost Inputs'!$C$3*3)),0))*'Platform Cost Inputs'!$C$2</f>
        <v>0</v>
      </c>
      <c r="N50" s="7">
        <f ca="1">(IF(N$6&gt;='Platform Cost Inputs'!$C$3,OFFSET('Cost Calcs'!N22,0,-'Platform Cost Inputs'!$C$3),0)+IF(N$6&gt;=('Platform Cost Inputs'!$C$3*2),OFFSET('Cost Calcs'!N22,0,(-'Platform Cost Inputs'!$C$3*2)),0)+IF(N$6&gt;=('Platform Cost Inputs'!$C$3*3),OFFSET('Cost Calcs'!N22,0,(-'Platform Cost Inputs'!$C$3*3)),0))*'Platform Cost Inputs'!$C$2</f>
        <v>0</v>
      </c>
      <c r="O50" s="7">
        <f ca="1">(IF(O$6&gt;='Platform Cost Inputs'!$C$3,OFFSET('Cost Calcs'!O22,0,-'Platform Cost Inputs'!$C$3),0)+IF(O$6&gt;=('Platform Cost Inputs'!$C$3*2),OFFSET('Cost Calcs'!O22,0,(-'Platform Cost Inputs'!$C$3*2)),0)+IF(O$6&gt;=('Platform Cost Inputs'!$C$3*3),OFFSET('Cost Calcs'!O22,0,(-'Platform Cost Inputs'!$C$3*3)),0))*'Platform Cost Inputs'!$C$2</f>
        <v>0</v>
      </c>
      <c r="P50" s="7">
        <f ca="1">(IF(P$6&gt;='Platform Cost Inputs'!$C$3,OFFSET('Cost Calcs'!P22,0,-'Platform Cost Inputs'!$C$3),0)+IF(P$6&gt;=('Platform Cost Inputs'!$C$3*2),OFFSET('Cost Calcs'!P22,0,(-'Platform Cost Inputs'!$C$3*2)),0)+IF(P$6&gt;=('Platform Cost Inputs'!$C$3*3),OFFSET('Cost Calcs'!P22,0,(-'Platform Cost Inputs'!$C$3*3)),0))*'Platform Cost Inputs'!$C$2</f>
        <v>0</v>
      </c>
      <c r="Q50" s="7">
        <f ca="1">(IF(Q$6&gt;='Platform Cost Inputs'!$C$3,OFFSET('Cost Calcs'!Q22,0,-'Platform Cost Inputs'!$C$3),0)+IF(Q$6&gt;=('Platform Cost Inputs'!$C$3*2),OFFSET('Cost Calcs'!Q22,0,(-'Platform Cost Inputs'!$C$3*2)),0)+IF(Q$6&gt;=('Platform Cost Inputs'!$C$3*3),OFFSET('Cost Calcs'!Q22,0,(-'Platform Cost Inputs'!$C$3*3)),0))*'Platform Cost Inputs'!$C$2</f>
        <v>0</v>
      </c>
      <c r="R50" s="7">
        <f ca="1">(IF(R$6&gt;='Platform Cost Inputs'!$C$3,OFFSET('Cost Calcs'!R22,0,-'Platform Cost Inputs'!$C$3),0)+IF(R$6&gt;=('Platform Cost Inputs'!$C$3*2),OFFSET('Cost Calcs'!R22,0,(-'Platform Cost Inputs'!$C$3*2)),0)+IF(R$6&gt;=('Platform Cost Inputs'!$C$3*3),OFFSET('Cost Calcs'!R22,0,(-'Platform Cost Inputs'!$C$3*3)),0))*'Platform Cost Inputs'!$C$2</f>
        <v>0.53493000000000002</v>
      </c>
      <c r="S50" s="7">
        <f ca="1">(IF(S$6&gt;='Platform Cost Inputs'!$C$3,OFFSET('Cost Calcs'!S22,0,-'Platform Cost Inputs'!$C$3),0)+IF(S$6&gt;=('Platform Cost Inputs'!$C$3*2),OFFSET('Cost Calcs'!S22,0,(-'Platform Cost Inputs'!$C$3*2)),0)+IF(S$6&gt;=('Platform Cost Inputs'!$C$3*3),OFFSET('Cost Calcs'!S22,0,(-'Platform Cost Inputs'!$C$3*3)),0))*'Platform Cost Inputs'!$C$2</f>
        <v>0</v>
      </c>
      <c r="T50" s="7">
        <f ca="1">(IF(T$6&gt;='Platform Cost Inputs'!$C$3,OFFSET('Cost Calcs'!T22,0,-'Platform Cost Inputs'!$C$3),0)+IF(T$6&gt;=('Platform Cost Inputs'!$C$3*2),OFFSET('Cost Calcs'!T22,0,(-'Platform Cost Inputs'!$C$3*2)),0)+IF(T$6&gt;=('Platform Cost Inputs'!$C$3*3),OFFSET('Cost Calcs'!T22,0,(-'Platform Cost Inputs'!$C$3*3)),0))*'Platform Cost Inputs'!$C$2</f>
        <v>0</v>
      </c>
      <c r="U50" s="7">
        <f ca="1">(IF(U$6&gt;='Platform Cost Inputs'!$C$3,OFFSET('Cost Calcs'!U22,0,-'Platform Cost Inputs'!$C$3),0)+IF(U$6&gt;=('Platform Cost Inputs'!$C$3*2),OFFSET('Cost Calcs'!U22,0,(-'Platform Cost Inputs'!$C$3*2)),0)+IF(U$6&gt;=('Platform Cost Inputs'!$C$3*3),OFFSET('Cost Calcs'!U22,0,(-'Platform Cost Inputs'!$C$3*3)),0))*'Platform Cost Inputs'!$C$2</f>
        <v>0</v>
      </c>
      <c r="V50" s="7">
        <f ca="1">(IF(V$6&gt;='Platform Cost Inputs'!$C$3,OFFSET('Cost Calcs'!V22,0,-'Platform Cost Inputs'!$C$3),0)+IF(V$6&gt;=('Platform Cost Inputs'!$C$3*2),OFFSET('Cost Calcs'!V22,0,(-'Platform Cost Inputs'!$C$3*2)),0)+IF(V$6&gt;=('Platform Cost Inputs'!$C$3*3),OFFSET('Cost Calcs'!V22,0,(-'Platform Cost Inputs'!$C$3*3)),0))*'Platform Cost Inputs'!$C$2</f>
        <v>0</v>
      </c>
      <c r="W50" s="7">
        <f ca="1">(IF(W$6&gt;='Platform Cost Inputs'!$C$3,OFFSET('Cost Calcs'!W22,0,-'Platform Cost Inputs'!$C$3),0)+IF(W$6&gt;=('Platform Cost Inputs'!$C$3*2),OFFSET('Cost Calcs'!W22,0,(-'Platform Cost Inputs'!$C$3*2)),0)+IF(W$6&gt;=('Platform Cost Inputs'!$C$3*3),OFFSET('Cost Calcs'!W22,0,(-'Platform Cost Inputs'!$C$3*3)),0))*'Platform Cost Inputs'!$C$2</f>
        <v>0</v>
      </c>
      <c r="X50" s="7">
        <f ca="1">(IF(X$6&gt;='Platform Cost Inputs'!$C$3,OFFSET('Cost Calcs'!X22,0,-'Platform Cost Inputs'!$C$3),0)+IF(X$6&gt;=('Platform Cost Inputs'!$C$3*2),OFFSET('Cost Calcs'!X22,0,(-'Platform Cost Inputs'!$C$3*2)),0)+IF(X$6&gt;=('Platform Cost Inputs'!$C$3*3),OFFSET('Cost Calcs'!X22,0,(-'Platform Cost Inputs'!$C$3*3)),0))*'Platform Cost Inputs'!$C$2</f>
        <v>0</v>
      </c>
      <c r="Y50" s="7">
        <f ca="1">(IF(Y$6&gt;='Platform Cost Inputs'!$C$3,OFFSET('Cost Calcs'!Y22,0,-'Platform Cost Inputs'!$C$3),0)+IF(Y$6&gt;=('Platform Cost Inputs'!$C$3*2),OFFSET('Cost Calcs'!Y22,0,(-'Platform Cost Inputs'!$C$3*2)),0)+IF(Y$6&gt;=('Platform Cost Inputs'!$C$3*3),OFFSET('Cost Calcs'!Y22,0,(-'Platform Cost Inputs'!$C$3*3)),0))*'Platform Cost Inputs'!$C$2</f>
        <v>0.53493000000000002</v>
      </c>
      <c r="Z50" s="7">
        <f ca="1">(IF(Z$6&gt;='Platform Cost Inputs'!$C$3,OFFSET('Cost Calcs'!Z22,0,-'Platform Cost Inputs'!$C$3),0)+IF(Z$6&gt;=('Platform Cost Inputs'!$C$3*2),OFFSET('Cost Calcs'!Z22,0,(-'Platform Cost Inputs'!$C$3*2)),0)+IF(Z$6&gt;=('Platform Cost Inputs'!$C$3*3),OFFSET('Cost Calcs'!Z22,0,(-'Platform Cost Inputs'!$C$3*3)),0))*'Platform Cost Inputs'!$C$2</f>
        <v>0</v>
      </c>
    </row>
    <row r="51" spans="1:26" s="1" customFormat="1" ht="15.75" x14ac:dyDescent="0.25">
      <c r="A51" s="211" t="s">
        <v>339</v>
      </c>
      <c r="B51" s="211" t="s">
        <v>7</v>
      </c>
      <c r="C51" s="212" t="str">
        <f>C50</f>
        <v>NPV</v>
      </c>
      <c r="D51" s="213">
        <f ca="1">SUM(D40:D50)</f>
        <v>15.177112941916294</v>
      </c>
      <c r="E51" s="214">
        <f ca="1">SUM(E40:E50)</f>
        <v>21.038312999999999</v>
      </c>
      <c r="F51" s="214"/>
      <c r="G51" s="215">
        <f ca="1">SUM(G40:G50)</f>
        <v>0</v>
      </c>
      <c r="H51" s="216">
        <f t="shared" ref="H51" ca="1" si="51">SUM(H40:H50)</f>
        <v>0</v>
      </c>
      <c r="I51" s="215">
        <f t="shared" ref="I51" ca="1" si="52">SUM(I40:I50)</f>
        <v>0</v>
      </c>
      <c r="J51" s="215">
        <f t="shared" ref="J51" ca="1" si="53">SUM(J40:J50)</f>
        <v>0</v>
      </c>
      <c r="K51" s="215">
        <f t="shared" ref="K51" ca="1" si="54">SUM(K40:K50)</f>
        <v>0</v>
      </c>
      <c r="L51" s="215">
        <f t="shared" ref="L51" ca="1" si="55">SUM(L40:L50)</f>
        <v>0</v>
      </c>
      <c r="M51" s="215">
        <f t="shared" ref="M51" ca="1" si="56">SUM(M40:M50)</f>
        <v>0</v>
      </c>
      <c r="N51" s="215">
        <f t="shared" ref="N51" ca="1" si="57">SUM(N40:N50)</f>
        <v>3.3591156666666668</v>
      </c>
      <c r="O51" s="215">
        <f t="shared" ref="O51" ca="1" si="58">SUM(O40:O50)</f>
        <v>3.666041166666667</v>
      </c>
      <c r="P51" s="215">
        <f t="shared" ref="P51" ca="1" si="59">SUM(P40:P50)</f>
        <v>2.1124296666666664</v>
      </c>
      <c r="Q51" s="215">
        <f t="shared" ref="Q51" ca="1" si="60">SUM(Q40:Q50)</f>
        <v>0.56442666666666663</v>
      </c>
      <c r="R51" s="215">
        <f t="shared" ref="R51" ca="1" si="61">SUM(R40:R50)</f>
        <v>0.81714333333333333</v>
      </c>
      <c r="S51" s="215">
        <f t="shared" ref="S51" ca="1" si="62">SUM(S40:S50)</f>
        <v>0</v>
      </c>
      <c r="T51" s="215">
        <f t="shared" ref="T51" ca="1" si="63">SUM(T40:T50)</f>
        <v>0</v>
      </c>
      <c r="U51" s="215">
        <f t="shared" ref="U51" ca="1" si="64">SUM(U40:U50)</f>
        <v>3.3591156666666668</v>
      </c>
      <c r="V51" s="215">
        <f t="shared" ref="V51" ca="1" si="65">SUM(V40:V50)</f>
        <v>3.666041166666667</v>
      </c>
      <c r="W51" s="215">
        <f t="shared" ref="W51" ca="1" si="66">SUM(W40:W50)</f>
        <v>2.1124296666666664</v>
      </c>
      <c r="X51" s="215">
        <f t="shared" ref="X51" ca="1" si="67">SUM(X40:X50)</f>
        <v>0.56442666666666663</v>
      </c>
      <c r="Y51" s="215">
        <f t="shared" ref="Y51" ca="1" si="68">SUM(Y40:Y50)</f>
        <v>0.81714333333333333</v>
      </c>
      <c r="Z51" s="215">
        <f t="shared" ref="Z51" ca="1" si="69">SUM(Z40:Z50)</f>
        <v>0</v>
      </c>
    </row>
    <row r="52" spans="1:26" x14ac:dyDescent="0.25">
      <c r="A52" s="2"/>
      <c r="E52" s="59"/>
      <c r="F52" s="59"/>
    </row>
    <row r="53" spans="1:26" x14ac:dyDescent="0.25">
      <c r="A53" s="28" t="s">
        <v>343</v>
      </c>
      <c r="E53" s="59"/>
      <c r="F53" s="59"/>
    </row>
    <row r="54" spans="1:26" ht="15.75" x14ac:dyDescent="0.25">
      <c r="A54" s="22" t="s">
        <v>344</v>
      </c>
      <c r="B54" s="22" t="s">
        <v>7</v>
      </c>
      <c r="C54" s="30" t="s">
        <v>9</v>
      </c>
      <c r="D54" s="31">
        <f t="shared" ref="D54" si="70">SUMPRODUCT(G54:Z54,G$7:Z$7)</f>
        <v>7.4187056730063166</v>
      </c>
      <c r="E54" s="59">
        <f t="shared" si="18"/>
        <v>9.9</v>
      </c>
      <c r="F54" s="59"/>
      <c r="G54" s="22">
        <f>IF(G6&gt;=Initiative7_Year_when_Flexible_Grid_Network_available_for_Summer_Saver_Program_for__VPN_with_Option_1,'Device Cost Input'!$C$30*'Device Cost Input'!$C$29+'Device Cost Input'!$C$37,0)/Million</f>
        <v>0</v>
      </c>
      <c r="H54" s="22">
        <f>IF(H6&gt;=Initiative7_Year_when_Flexible_Grid_Network_available_for_Summer_Saver_Program_for__VPN_with_Option_1,'Device Cost Input'!$C$30*'Device Cost Input'!$C$29+'Device Cost Input'!$C$37,0)/Million</f>
        <v>0</v>
      </c>
      <c r="I54" s="22">
        <f>IF(I6&gt;=Initiative7_Year_when_Flexible_Grid_Network_available_for_Summer_Saver_Program_for__VPN_with_Option_1,'Device Cost Input'!$C$30*'Device Cost Input'!$C$29+'Device Cost Input'!$C$37,0)/Million</f>
        <v>0.55000000000000004</v>
      </c>
      <c r="J54" s="22">
        <f>IF(J6&gt;=Initiative7_Year_when_Flexible_Grid_Network_available_for_Summer_Saver_Program_for__VPN_with_Option_1,'Device Cost Input'!$C$30*'Device Cost Input'!$C$29+'Device Cost Input'!$C$37,0)/Million</f>
        <v>0.55000000000000004</v>
      </c>
      <c r="K54" s="22">
        <f>IF(K6&gt;=Initiative7_Year_when_Flexible_Grid_Network_available_for_Summer_Saver_Program_for__VPN_with_Option_1,'Device Cost Input'!$C$30*'Device Cost Input'!$C$29+'Device Cost Input'!$C$37,0)/Million</f>
        <v>0.55000000000000004</v>
      </c>
      <c r="L54" s="22">
        <f>IF(L6&gt;=Initiative7_Year_when_Flexible_Grid_Network_available_for_Summer_Saver_Program_for__VPN_with_Option_1,'Device Cost Input'!$C$30*'Device Cost Input'!$C$29+'Device Cost Input'!$C$37,0)/Million</f>
        <v>0.55000000000000004</v>
      </c>
      <c r="M54" s="22">
        <f>IF(M6&gt;=Initiative7_Year_when_Flexible_Grid_Network_available_for_Summer_Saver_Program_for__VPN_with_Option_1,'Device Cost Input'!$C$30*'Device Cost Input'!$C$29+'Device Cost Input'!$C$37,0)/Million</f>
        <v>0.55000000000000004</v>
      </c>
      <c r="N54" s="22">
        <f>IF(N6&gt;=Initiative7_Year_when_Flexible_Grid_Network_available_for_Summer_Saver_Program_for__VPN_with_Option_1,'Device Cost Input'!$C$30*'Device Cost Input'!$C$29+'Device Cost Input'!$C$37,0)/Million</f>
        <v>0.55000000000000004</v>
      </c>
      <c r="O54" s="22">
        <f>IF(O6&gt;=Initiative7_Year_when_Flexible_Grid_Network_available_for_Summer_Saver_Program_for__VPN_with_Option_1,'Device Cost Input'!$C$30*'Device Cost Input'!$C$29+'Device Cost Input'!$C$37,0)/Million</f>
        <v>0.55000000000000004</v>
      </c>
      <c r="P54" s="22">
        <f>IF(P6&gt;=Initiative7_Year_when_Flexible_Grid_Network_available_for_Summer_Saver_Program_for__VPN_with_Option_1,'Device Cost Input'!$C$30*'Device Cost Input'!$C$29+'Device Cost Input'!$C$37,0)/Million</f>
        <v>0.55000000000000004</v>
      </c>
      <c r="Q54" s="22">
        <f>IF(Q6&gt;=Initiative7_Year_when_Flexible_Grid_Network_available_for_Summer_Saver_Program_for__VPN_with_Option_1,'Device Cost Input'!$C$30*'Device Cost Input'!$C$29+'Device Cost Input'!$C$37,0)/Million</f>
        <v>0.55000000000000004</v>
      </c>
      <c r="R54" s="22">
        <f>IF(R6&gt;=Initiative7_Year_when_Flexible_Grid_Network_available_for_Summer_Saver_Program_for__VPN_with_Option_1,'Device Cost Input'!$C$30*'Device Cost Input'!$C$29+'Device Cost Input'!$C$37,0)/Million</f>
        <v>0.55000000000000004</v>
      </c>
      <c r="S54" s="22">
        <f>IF(S6&gt;=Initiative7_Year_when_Flexible_Grid_Network_available_for_Summer_Saver_Program_for__VPN_with_Option_1,'Device Cost Input'!$C$30*'Device Cost Input'!$C$29+'Device Cost Input'!$C$37,0)/Million</f>
        <v>0.55000000000000004</v>
      </c>
      <c r="T54" s="22">
        <f>IF(T6&gt;=Initiative7_Year_when_Flexible_Grid_Network_available_for_Summer_Saver_Program_for__VPN_with_Option_1,'Device Cost Input'!$C$30*'Device Cost Input'!$C$29+'Device Cost Input'!$C$37,0)/Million</f>
        <v>0.55000000000000004</v>
      </c>
      <c r="U54" s="22">
        <f>IF(U6&gt;=Initiative7_Year_when_Flexible_Grid_Network_available_for_Summer_Saver_Program_for__VPN_with_Option_1,'Device Cost Input'!$C$30*'Device Cost Input'!$C$29+'Device Cost Input'!$C$37,0)/Million</f>
        <v>0.55000000000000004</v>
      </c>
      <c r="V54" s="22">
        <f>IF(V6&gt;=Initiative7_Year_when_Flexible_Grid_Network_available_for_Summer_Saver_Program_for__VPN_with_Option_1,'Device Cost Input'!$C$30*'Device Cost Input'!$C$29+'Device Cost Input'!$C$37,0)/Million</f>
        <v>0.55000000000000004</v>
      </c>
      <c r="W54" s="22">
        <f>IF(W6&gt;=Initiative7_Year_when_Flexible_Grid_Network_available_for_Summer_Saver_Program_for__VPN_with_Option_1,'Device Cost Input'!$C$30*'Device Cost Input'!$C$29+'Device Cost Input'!$C$37,0)/Million</f>
        <v>0.55000000000000004</v>
      </c>
      <c r="X54" s="22">
        <f>IF(X6&gt;=Initiative7_Year_when_Flexible_Grid_Network_available_for_Summer_Saver_Program_for__VPN_with_Option_1,'Device Cost Input'!$C$30*'Device Cost Input'!$C$29+'Device Cost Input'!$C$37,0)/Million</f>
        <v>0.55000000000000004</v>
      </c>
      <c r="Y54" s="22">
        <f>IF(Y6&gt;=Initiative7_Year_when_Flexible_Grid_Network_available_for_Summer_Saver_Program_for__VPN_with_Option_1,'Device Cost Input'!$C$30*'Device Cost Input'!$C$29+'Device Cost Input'!$C$37,0)/Million</f>
        <v>0.55000000000000004</v>
      </c>
      <c r="Z54" s="22">
        <f>IF(Z6&gt;=Initiative7_Year_when_Flexible_Grid_Network_available_for_Summer_Saver_Program_for__VPN_with_Option_1,'Device Cost Input'!$C$30*'Device Cost Input'!$C$29+'Device Cost Input'!$C$37,0)/Million</f>
        <v>0.55000000000000004</v>
      </c>
    </row>
    <row r="55" spans="1:26" ht="15.75" x14ac:dyDescent="0.25">
      <c r="A55" s="22" t="s">
        <v>341</v>
      </c>
      <c r="B55" s="22" t="s">
        <v>7</v>
      </c>
      <c r="C55" s="30" t="s">
        <v>9</v>
      </c>
      <c r="D55" s="31">
        <f t="shared" ref="D55:D56" si="71">SUMPRODUCT(G55:Z55,G$7:Z$7)</f>
        <v>3.1385321681423686</v>
      </c>
      <c r="E55" s="59">
        <f t="shared" si="18"/>
        <v>4.25</v>
      </c>
      <c r="F55" s="59"/>
      <c r="G55" s="22">
        <f>IF(G5&lt;MAX('Platform Cost Inputs'!$H$15:$H$20),0,IF(G6&gt;=Initiative8_Year_when_Option_1_Flexible_Charging_for_Residential_Evs_available,'Device Cost Input'!$C$31*'Device Cost Input'!$C$29,0)/Million)</f>
        <v>0</v>
      </c>
      <c r="H55" s="22">
        <f>IF(H5&lt;MAX('Platform Cost Inputs'!$H$15:$H$20),0,IF(H6&gt;=Initiative8_Year_when_Option_1_Flexible_Charging_for_Residential_Evs_available,'Device Cost Input'!$C$31*'Device Cost Input'!$C$29,0)/Million)</f>
        <v>0</v>
      </c>
      <c r="I55" s="22">
        <f>IF(I5&lt;MAX('Platform Cost Inputs'!$H$15:$H$20),0,IF(I6&gt;=Initiative8_Year_when_Option_1_Flexible_Charging_for_Residential_Evs_available,'Device Cost Input'!$C$31*'Device Cost Input'!$C$29,0)/Million)</f>
        <v>0</v>
      </c>
      <c r="J55" s="22">
        <f>IF(J5&lt;MAX('Platform Cost Inputs'!$H$15:$H$20),0,IF(J6&gt;=Initiative8_Year_when_Option_1_Flexible_Charging_for_Residential_Evs_available,'Device Cost Input'!$C$31*'Device Cost Input'!$C$29,0)/Million)</f>
        <v>0.25</v>
      </c>
      <c r="K55" s="22">
        <f>IF(K5&lt;MAX('Platform Cost Inputs'!$H$15:$H$20),0,IF(K6&gt;=Initiative8_Year_when_Option_1_Flexible_Charging_for_Residential_Evs_available,'Device Cost Input'!$C$31*'Device Cost Input'!$C$29,0)/Million)</f>
        <v>0.25</v>
      </c>
      <c r="L55" s="22">
        <f>IF(L5&lt;MAX('Platform Cost Inputs'!$H$15:$H$20),0,IF(L6&gt;=Initiative8_Year_when_Option_1_Flexible_Charging_for_Residential_Evs_available,'Device Cost Input'!$C$31*'Device Cost Input'!$C$29,0)/Million)</f>
        <v>0.25</v>
      </c>
      <c r="M55" s="22">
        <f>IF(M5&lt;MAX('Platform Cost Inputs'!$H$15:$H$20),0,IF(M6&gt;=Initiative8_Year_when_Option_1_Flexible_Charging_for_Residential_Evs_available,'Device Cost Input'!$C$31*'Device Cost Input'!$C$29,0)/Million)</f>
        <v>0.25</v>
      </c>
      <c r="N55" s="22">
        <f>IF(N5&lt;MAX('Platform Cost Inputs'!$H$15:$H$20),0,IF(N6&gt;=Initiative8_Year_when_Option_1_Flexible_Charging_for_Residential_Evs_available,'Device Cost Input'!$C$31*'Device Cost Input'!$C$29,0)/Million)</f>
        <v>0.25</v>
      </c>
      <c r="O55" s="22">
        <f>IF(O5&lt;MAX('Platform Cost Inputs'!$H$15:$H$20),0,IF(O6&gt;=Initiative8_Year_when_Option_1_Flexible_Charging_for_Residential_Evs_available,'Device Cost Input'!$C$31*'Device Cost Input'!$C$29,0)/Million)</f>
        <v>0.25</v>
      </c>
      <c r="P55" s="22">
        <f>IF(P5&lt;MAX('Platform Cost Inputs'!$H$15:$H$20),0,IF(P6&gt;=Initiative8_Year_when_Option_1_Flexible_Charging_for_Residential_Evs_available,'Device Cost Input'!$C$31*'Device Cost Input'!$C$29,0)/Million)</f>
        <v>0.25</v>
      </c>
      <c r="Q55" s="22">
        <f>IF(Q5&lt;MAX('Platform Cost Inputs'!$H$15:$H$20),0,IF(Q6&gt;=Initiative8_Year_when_Option_1_Flexible_Charging_for_Residential_Evs_available,'Device Cost Input'!$C$31*'Device Cost Input'!$C$29,0)/Million)</f>
        <v>0.25</v>
      </c>
      <c r="R55" s="22">
        <f>IF(R5&lt;MAX('Platform Cost Inputs'!$H$15:$H$20),0,IF(R6&gt;=Initiative8_Year_when_Option_1_Flexible_Charging_for_Residential_Evs_available,'Device Cost Input'!$C$31*'Device Cost Input'!$C$29,0)/Million)</f>
        <v>0.25</v>
      </c>
      <c r="S55" s="22">
        <f>IF(S5&lt;MAX('Platform Cost Inputs'!$H$15:$H$20),0,IF(S6&gt;=Initiative8_Year_when_Option_1_Flexible_Charging_for_Residential_Evs_available,'Device Cost Input'!$C$31*'Device Cost Input'!$C$29,0)/Million)</f>
        <v>0.25</v>
      </c>
      <c r="T55" s="22">
        <f>IF(T5&lt;MAX('Platform Cost Inputs'!$H$15:$H$20),0,IF(T6&gt;=Initiative8_Year_when_Option_1_Flexible_Charging_for_Residential_Evs_available,'Device Cost Input'!$C$31*'Device Cost Input'!$C$29,0)/Million)</f>
        <v>0.25</v>
      </c>
      <c r="U55" s="22">
        <f>IF(U5&lt;MAX('Platform Cost Inputs'!$H$15:$H$20),0,IF(U6&gt;=Initiative8_Year_when_Option_1_Flexible_Charging_for_Residential_Evs_available,'Device Cost Input'!$C$31*'Device Cost Input'!$C$29,0)/Million)</f>
        <v>0.25</v>
      </c>
      <c r="V55" s="22">
        <f>IF(V5&lt;MAX('Platform Cost Inputs'!$H$15:$H$20),0,IF(V6&gt;=Initiative8_Year_when_Option_1_Flexible_Charging_for_Residential_Evs_available,'Device Cost Input'!$C$31*'Device Cost Input'!$C$29,0)/Million)</f>
        <v>0.25</v>
      </c>
      <c r="W55" s="22">
        <f>IF(W5&lt;MAX('Platform Cost Inputs'!$H$15:$H$20),0,IF(W6&gt;=Initiative8_Year_when_Option_1_Flexible_Charging_for_Residential_Evs_available,'Device Cost Input'!$C$31*'Device Cost Input'!$C$29,0)/Million)</f>
        <v>0.25</v>
      </c>
      <c r="X55" s="22">
        <f>IF(X5&lt;MAX('Platform Cost Inputs'!$H$15:$H$20),0,IF(X6&gt;=Initiative8_Year_when_Option_1_Flexible_Charging_for_Residential_Evs_available,'Device Cost Input'!$C$31*'Device Cost Input'!$C$29,0)/Million)</f>
        <v>0.25</v>
      </c>
      <c r="Y55" s="22">
        <f>IF(Y5&lt;MAX('Platform Cost Inputs'!$H$15:$H$20),0,IF(Y6&gt;=Initiative8_Year_when_Option_1_Flexible_Charging_for_Residential_Evs_available,'Device Cost Input'!$C$31*'Device Cost Input'!$C$29,0)/Million)</f>
        <v>0.25</v>
      </c>
      <c r="Z55" s="22">
        <f>IF(Z5&lt;MAX('Platform Cost Inputs'!$H$15:$H$20),0,IF(Z6&gt;=Initiative8_Year_when_Option_1_Flexible_Charging_for_Residential_Evs_available,'Device Cost Input'!$C$31*'Device Cost Input'!$C$29,0)/Million)</f>
        <v>0.25</v>
      </c>
    </row>
    <row r="56" spans="1:26" ht="15.75" x14ac:dyDescent="0.25">
      <c r="A56" s="22" t="s">
        <v>342</v>
      </c>
      <c r="B56" s="22" t="s">
        <v>7</v>
      </c>
      <c r="C56" s="30" t="s">
        <v>9</v>
      </c>
      <c r="D56" s="31">
        <f t="shared" si="71"/>
        <v>6.6384095957406597</v>
      </c>
      <c r="E56" s="59">
        <f t="shared" si="18"/>
        <v>10.102714068955217</v>
      </c>
      <c r="F56" s="59"/>
      <c r="G56" s="22">
        <f>IF(G5&lt;MAX('Platform Cost Inputs'!$H$15:$H$20),0,IF(G6&gt;=Initiative8_Year_when_Option_1_Flexible_Charging_for_Residential_Evs_available,'Benefit Calcs'!F23*'Device Cost Input'!$C$32,0)/Million)</f>
        <v>0</v>
      </c>
      <c r="H56" s="22">
        <f>IF(H5&lt;MAX('Platform Cost Inputs'!$H$15:$H$20),0,IF(H6&gt;=Initiative8_Year_when_Option_1_Flexible_Charging_for_Residential_Evs_available,'Benefit Calcs'!G23*'Device Cost Input'!$C$32,0)/Million)</f>
        <v>0</v>
      </c>
      <c r="I56" s="22">
        <f>IF(I5&lt;MAX('Platform Cost Inputs'!$H$15:$H$20),0,IF(I6&gt;=Initiative8_Year_when_Option_1_Flexible_Charging_for_Residential_Evs_available,'Benefit Calcs'!H23*'Device Cost Input'!$C$32,0)/Million)</f>
        <v>0</v>
      </c>
      <c r="J56" s="22">
        <f>IF(J5&lt;MAX('Platform Cost Inputs'!$H$15:$H$20),0,IF(J6&gt;=Initiative8_Year_when_Option_1_Flexible_Charging_for_Residential_Evs_available,'Benefit Calcs'!I23*'Device Cost Input'!$C$32,0)/Million)</f>
        <v>2.3376960380111892E-2</v>
      </c>
      <c r="K56" s="22">
        <f>IF(K5&lt;MAX('Platform Cost Inputs'!$H$15:$H$20),0,IF(K6&gt;=Initiative8_Year_when_Option_1_Flexible_Charging_for_Residential_Evs_available,'Benefit Calcs'!J23*'Device Cost Input'!$C$32,0)/Million)</f>
        <v>3.9286442779478604E-2</v>
      </c>
      <c r="L56" s="22">
        <f>IF(L5&lt;MAX('Platform Cost Inputs'!$H$15:$H$20),0,IF(L6&gt;=Initiative8_Year_when_Option_1_Flexible_Charging_for_Residential_Evs_available,'Benefit Calcs'!K23*'Device Cost Input'!$C$32,0)/Million)</f>
        <v>6.2865391730170556E-2</v>
      </c>
      <c r="M56" s="22">
        <f>IF(M5&lt;MAX('Platform Cost Inputs'!$H$15:$H$20),0,IF(M6&gt;=Initiative8_Year_when_Option_1_Flexible_Charging_for_Residential_Evs_available,'Benefit Calcs'!L23*'Device Cost Input'!$C$32,0)/Million)</f>
        <v>9.6340637817295474E-2</v>
      </c>
      <c r="N56" s="22">
        <f>IF(N5&lt;MAX('Platform Cost Inputs'!$H$15:$H$20),0,IF(N6&gt;=Initiative8_Year_when_Option_1_Flexible_Charging_for_Residential_Evs_available,'Benefit Calcs'!M23*'Device Cost Input'!$C$32,0)/Million)</f>
        <v>0.13850969939533672</v>
      </c>
      <c r="O56" s="22">
        <f>IF(O5&lt;MAX('Platform Cost Inputs'!$H$15:$H$20),0,IF(O6&gt;=Initiative8_Year_when_Option_1_Flexible_Charging_for_Residential_Evs_available,'Benefit Calcs'!N23*'Device Cost Input'!$C$32,0)/Million)</f>
        <v>0.19364477569096272</v>
      </c>
      <c r="P56" s="22">
        <f>IF(P5&lt;MAX('Platform Cost Inputs'!$H$15:$H$20),0,IF(P6&gt;=Initiative8_Year_when_Option_1_Flexible_Charging_for_Residential_Evs_available,'Benefit Calcs'!O23*'Device Cost Input'!$C$32,0)/Million)</f>
        <v>0.2572044067678077</v>
      </c>
      <c r="Q56" s="22">
        <f>IF(Q5&lt;MAX('Platform Cost Inputs'!$H$15:$H$20),0,IF(Q6&gt;=Initiative8_Year_when_Option_1_Flexible_Charging_for_Residential_Evs_available,'Benefit Calcs'!P23*'Device Cost Input'!$C$32,0)/Million)</f>
        <v>0.33789291368157648</v>
      </c>
      <c r="R56" s="22">
        <f>IF(R5&lt;MAX('Platform Cost Inputs'!$H$15:$H$20),0,IF(R6&gt;=Initiative8_Year_when_Option_1_Flexible_Charging_for_Residential_Evs_available,'Benefit Calcs'!Q23*'Device Cost Input'!$C$32,0)/Million)</f>
        <v>0.4302487038048059</v>
      </c>
      <c r="S56" s="22">
        <f>IF(S5&lt;MAX('Platform Cost Inputs'!$H$15:$H$20),0,IF(S6&gt;=Initiative8_Year_when_Option_1_Flexible_Charging_for_Residential_Evs_available,'Benefit Calcs'!R23*'Device Cost Input'!$C$32,0)/Million)</f>
        <v>0.52776415749079675</v>
      </c>
      <c r="T56" s="22">
        <f>IF(T5&lt;MAX('Platform Cost Inputs'!$H$15:$H$20),0,IF(T6&gt;=Initiative8_Year_when_Option_1_Flexible_Charging_for_Residential_Evs_available,'Benefit Calcs'!S23*'Device Cost Input'!$C$32,0)/Million)</f>
        <v>0.64765637901820294</v>
      </c>
      <c r="U56" s="22">
        <f>IF(U5&lt;MAX('Platform Cost Inputs'!$H$15:$H$20),0,IF(U6&gt;=Initiative8_Year_when_Option_1_Flexible_Charging_for_Residential_Evs_available,'Benefit Calcs'!T23*'Device Cost Input'!$C$32,0)/Million)</f>
        <v>0.78232961177423554</v>
      </c>
      <c r="V56" s="22">
        <f>IF(V5&lt;MAX('Platform Cost Inputs'!$H$15:$H$20),0,IF(V6&gt;=Initiative8_Year_when_Option_1_Flexible_Charging_for_Residential_Evs_available,'Benefit Calcs'!U23*'Device Cost Input'!$C$32,0)/Million)</f>
        <v>0.98479509960864919</v>
      </c>
      <c r="W56" s="22">
        <f>IF(W5&lt;MAX('Platform Cost Inputs'!$H$15:$H$20),0,IF(W6&gt;=Initiative8_Year_when_Option_1_Flexible_Charging_for_Residential_Evs_available,'Benefit Calcs'!V23*'Device Cost Input'!$C$32,0)/Million)</f>
        <v>1.1519435147575472</v>
      </c>
      <c r="X56" s="22">
        <f>IF(X5&lt;MAX('Platform Cost Inputs'!$H$15:$H$20),0,IF(X6&gt;=Initiative8_Year_when_Option_1_Flexible_Charging_for_Residential_Evs_available,'Benefit Calcs'!W23*'Device Cost Input'!$C$32,0)/Million)</f>
        <v>1.3236345179087776</v>
      </c>
      <c r="Y56" s="22">
        <f>IF(Y5&lt;MAX('Platform Cost Inputs'!$H$15:$H$20),0,IF(Y6&gt;=Initiative8_Year_when_Option_1_Flexible_Charging_for_Residential_Evs_available,'Benefit Calcs'!X23*'Device Cost Input'!$C$32,0)/Million)</f>
        <v>1.4810955591330768</v>
      </c>
      <c r="Z56" s="22">
        <f>IF(Z5&lt;MAX('Platform Cost Inputs'!$H$15:$H$20),0,IF(Z6&gt;=Initiative8_Year_when_Option_1_Flexible_Charging_for_Residential_Evs_available,'Benefit Calcs'!Y23*'Device Cost Input'!$C$32,0)/Million)</f>
        <v>1.6241252972163864</v>
      </c>
    </row>
    <row r="57" spans="1:26" ht="15.75" x14ac:dyDescent="0.25">
      <c r="A57" s="22" t="s">
        <v>346</v>
      </c>
      <c r="B57" s="22" t="s">
        <v>7</v>
      </c>
      <c r="C57" s="30" t="s">
        <v>9</v>
      </c>
      <c r="D57" s="31">
        <f t="shared" ref="D57:D58" si="72">SUMPRODUCT(G57:Z57,G$7:Z$7)</f>
        <v>3.1385321681423686</v>
      </c>
      <c r="E57" s="59">
        <f t="shared" si="18"/>
        <v>4.25</v>
      </c>
      <c r="F57" s="59"/>
      <c r="G57" s="22">
        <f>IF(G5&lt;MAX('Platform Cost Inputs'!$H$15:$H$20),0,IF(G6&gt;=Initiative9_Year_when_Option_1_Customer_Load_Monitoring_and_Optimisation_Available,'Device Cost Input'!$C$33*'Device Cost Input'!$C$29,0)/Million)</f>
        <v>0</v>
      </c>
      <c r="H57" s="22">
        <f>IF(H5&lt;MAX('Platform Cost Inputs'!$H$15:$H$20),0,IF(H6&gt;=Initiative9_Year_when_Option_1_Customer_Load_Monitoring_and_Optimisation_Available,'Device Cost Input'!$C$33*'Device Cost Input'!$C$29,0)/Million)</f>
        <v>0</v>
      </c>
      <c r="I57" s="22">
        <f>IF(I5&lt;MAX('Platform Cost Inputs'!$H$15:$H$20),0,IF(I6&gt;=Initiative9_Year_when_Option_1_Customer_Load_Monitoring_and_Optimisation_Available,'Device Cost Input'!$C$33*'Device Cost Input'!$C$29,0)/Million)</f>
        <v>0</v>
      </c>
      <c r="J57" s="22">
        <f>IF(J5&lt;MAX('Platform Cost Inputs'!$H$15:$H$20),0,IF(J6&gt;=Initiative9_Year_when_Option_1_Customer_Load_Monitoring_and_Optimisation_Available,'Device Cost Input'!$C$33*'Device Cost Input'!$C$29,0)/Million)</f>
        <v>0.25</v>
      </c>
      <c r="K57" s="22">
        <f>IF(K5&lt;MAX('Platform Cost Inputs'!$H$15:$H$20),0,IF(K6&gt;=Initiative9_Year_when_Option_1_Customer_Load_Monitoring_and_Optimisation_Available,'Device Cost Input'!$C$33*'Device Cost Input'!$C$29,0)/Million)</f>
        <v>0.25</v>
      </c>
      <c r="L57" s="22">
        <f>IF(L5&lt;MAX('Platform Cost Inputs'!$H$15:$H$20),0,IF(L6&gt;=Initiative9_Year_when_Option_1_Customer_Load_Monitoring_and_Optimisation_Available,'Device Cost Input'!$C$33*'Device Cost Input'!$C$29,0)/Million)</f>
        <v>0.25</v>
      </c>
      <c r="M57" s="22">
        <f>IF(M5&lt;MAX('Platform Cost Inputs'!$H$15:$H$20),0,IF(M6&gt;=Initiative9_Year_when_Option_1_Customer_Load_Monitoring_and_Optimisation_Available,'Device Cost Input'!$C$33*'Device Cost Input'!$C$29,0)/Million)</f>
        <v>0.25</v>
      </c>
      <c r="N57" s="22">
        <f>IF(N5&lt;MAX('Platform Cost Inputs'!$H$15:$H$20),0,IF(N6&gt;=Initiative9_Year_when_Option_1_Customer_Load_Monitoring_and_Optimisation_Available,'Device Cost Input'!$C$33*'Device Cost Input'!$C$29,0)/Million)</f>
        <v>0.25</v>
      </c>
      <c r="O57" s="22">
        <f>IF(O5&lt;MAX('Platform Cost Inputs'!$H$15:$H$20),0,IF(O6&gt;=Initiative9_Year_when_Option_1_Customer_Load_Monitoring_and_Optimisation_Available,'Device Cost Input'!$C$33*'Device Cost Input'!$C$29,0)/Million)</f>
        <v>0.25</v>
      </c>
      <c r="P57" s="22">
        <f>IF(P5&lt;MAX('Platform Cost Inputs'!$H$15:$H$20),0,IF(P6&gt;=Initiative9_Year_when_Option_1_Customer_Load_Monitoring_and_Optimisation_Available,'Device Cost Input'!$C$33*'Device Cost Input'!$C$29,0)/Million)</f>
        <v>0.25</v>
      </c>
      <c r="Q57" s="22">
        <f>IF(Q5&lt;MAX('Platform Cost Inputs'!$H$15:$H$20),0,IF(Q6&gt;=Initiative9_Year_when_Option_1_Customer_Load_Monitoring_and_Optimisation_Available,'Device Cost Input'!$C$33*'Device Cost Input'!$C$29,0)/Million)</f>
        <v>0.25</v>
      </c>
      <c r="R57" s="22">
        <f>IF(R5&lt;MAX('Platform Cost Inputs'!$H$15:$H$20),0,IF(R6&gt;=Initiative9_Year_when_Option_1_Customer_Load_Monitoring_and_Optimisation_Available,'Device Cost Input'!$C$33*'Device Cost Input'!$C$29,0)/Million)</f>
        <v>0.25</v>
      </c>
      <c r="S57" s="22">
        <f>IF(S5&lt;MAX('Platform Cost Inputs'!$H$15:$H$20),0,IF(S6&gt;=Initiative9_Year_when_Option_1_Customer_Load_Monitoring_and_Optimisation_Available,'Device Cost Input'!$C$33*'Device Cost Input'!$C$29,0)/Million)</f>
        <v>0.25</v>
      </c>
      <c r="T57" s="22">
        <f>IF(T5&lt;MAX('Platform Cost Inputs'!$H$15:$H$20),0,IF(T6&gt;=Initiative9_Year_when_Option_1_Customer_Load_Monitoring_and_Optimisation_Available,'Device Cost Input'!$C$33*'Device Cost Input'!$C$29,0)/Million)</f>
        <v>0.25</v>
      </c>
      <c r="U57" s="22">
        <f>IF(U5&lt;MAX('Platform Cost Inputs'!$H$15:$H$20),0,IF(U6&gt;=Initiative9_Year_when_Option_1_Customer_Load_Monitoring_and_Optimisation_Available,'Device Cost Input'!$C$33*'Device Cost Input'!$C$29,0)/Million)</f>
        <v>0.25</v>
      </c>
      <c r="V57" s="22">
        <f>IF(V5&lt;MAX('Platform Cost Inputs'!$H$15:$H$20),0,IF(V6&gt;=Initiative9_Year_when_Option_1_Customer_Load_Monitoring_and_Optimisation_Available,'Device Cost Input'!$C$33*'Device Cost Input'!$C$29,0)/Million)</f>
        <v>0.25</v>
      </c>
      <c r="W57" s="22">
        <f>IF(W5&lt;MAX('Platform Cost Inputs'!$H$15:$H$20),0,IF(W6&gt;=Initiative9_Year_when_Option_1_Customer_Load_Monitoring_and_Optimisation_Available,'Device Cost Input'!$C$33*'Device Cost Input'!$C$29,0)/Million)</f>
        <v>0.25</v>
      </c>
      <c r="X57" s="22">
        <f>IF(X5&lt;MAX('Platform Cost Inputs'!$H$15:$H$20),0,IF(X6&gt;=Initiative9_Year_when_Option_1_Customer_Load_Monitoring_and_Optimisation_Available,'Device Cost Input'!$C$33*'Device Cost Input'!$C$29,0)/Million)</f>
        <v>0.25</v>
      </c>
      <c r="Y57" s="22">
        <f>IF(Y5&lt;MAX('Platform Cost Inputs'!$H$15:$H$20),0,IF(Y6&gt;=Initiative9_Year_when_Option_1_Customer_Load_Monitoring_and_Optimisation_Available,'Device Cost Input'!$C$33*'Device Cost Input'!$C$29,0)/Million)</f>
        <v>0.25</v>
      </c>
      <c r="Z57" s="22">
        <f>IF(Z5&lt;MAX('Platform Cost Inputs'!$H$15:$H$20),0,IF(Z6&gt;=Initiative9_Year_when_Option_1_Customer_Load_Monitoring_and_Optimisation_Available,'Device Cost Input'!$C$33*'Device Cost Input'!$C$29,0)/Million)</f>
        <v>0.25</v>
      </c>
    </row>
    <row r="58" spans="1:26" ht="15.75" x14ac:dyDescent="0.25">
      <c r="A58" s="22" t="s">
        <v>347</v>
      </c>
      <c r="B58" s="22" t="s">
        <v>7</v>
      </c>
      <c r="C58" s="30" t="s">
        <v>9</v>
      </c>
      <c r="D58" s="31">
        <f t="shared" si="72"/>
        <v>6.2409282761802078</v>
      </c>
      <c r="E58" s="59">
        <f t="shared" si="18"/>
        <v>9.2412498733140005</v>
      </c>
      <c r="F58" s="59"/>
      <c r="G58" s="22">
        <f>IF(G5&lt;MAX('Platform Cost Inputs'!$H$15:$H$20),0,IF(G6&gt;=Initiative9_Year_when_Option_1_Customer_Load_Monitoring_and_Optimisation_Available,'Benefit Calcs'!F32*'Device Cost Input'!$C$34,0)/Million)</f>
        <v>0</v>
      </c>
      <c r="H58" s="22">
        <f>IF(H5&lt;MAX('Platform Cost Inputs'!$H$15:$H$20),0,IF(H6&gt;=Initiative9_Year_when_Option_1_Customer_Load_Monitoring_and_Optimisation_Available,'Benefit Calcs'!G32*'Device Cost Input'!$C$34,0)/Million)</f>
        <v>0</v>
      </c>
      <c r="I58" s="22">
        <f>IF(I5&lt;MAX('Platform Cost Inputs'!$H$15:$H$20),0,IF(I6&gt;=Initiative9_Year_when_Option_1_Customer_Load_Monitoring_and_Optimisation_Available,'Benefit Calcs'!H32*'Device Cost Input'!$C$34,0)/Million)</f>
        <v>0</v>
      </c>
      <c r="J58" s="22">
        <f>IF(J5&lt;MAX('Platform Cost Inputs'!$H$15:$H$20),0,IF(J6&gt;=Initiative9_Year_when_Option_1_Customer_Load_Monitoring_and_Optimisation_Available,'Benefit Calcs'!I32*'Device Cost Input'!$C$34,0)/Million)</f>
        <v>8.2750000000000004E-2</v>
      </c>
      <c r="K58" s="22">
        <f>IF(K5&lt;MAX('Platform Cost Inputs'!$H$15:$H$20),0,IF(K6&gt;=Initiative9_Year_when_Option_1_Customer_Load_Monitoring_and_Optimisation_Available,'Benefit Calcs'!J32*'Device Cost Input'!$C$34,0)/Million)</f>
        <v>0.116025</v>
      </c>
      <c r="L58" s="22">
        <f>IF(L5&lt;MAX('Platform Cost Inputs'!$H$15:$H$20),0,IF(L6&gt;=Initiative9_Year_when_Option_1_Customer_Load_Monitoring_and_Optimisation_Available,'Benefit Calcs'!K32*'Device Cost Input'!$C$34,0)/Million)</f>
        <v>0.1526275</v>
      </c>
      <c r="M58" s="22">
        <f>IF(M5&lt;MAX('Platform Cost Inputs'!$H$15:$H$20),0,IF(M6&gt;=Initiative9_Year_when_Option_1_Customer_Load_Monitoring_and_Optimisation_Available,'Benefit Calcs'!L32*'Device Cost Input'!$C$34,0)/Million)</f>
        <v>0.19289025000000001</v>
      </c>
      <c r="N58" s="22">
        <f>IF(N5&lt;MAX('Platform Cost Inputs'!$H$15:$H$20),0,IF(N6&gt;=Initiative9_Year_when_Option_1_Customer_Load_Monitoring_and_Optimisation_Available,'Benefit Calcs'!M32*'Device Cost Input'!$C$34,0)/Million)</f>
        <v>0.23717927500000002</v>
      </c>
      <c r="O58" s="22">
        <f>IF(O5&lt;MAX('Platform Cost Inputs'!$H$15:$H$20),0,IF(O6&gt;=Initiative9_Year_when_Option_1_Customer_Load_Monitoring_and_Optimisation_Available,'Benefit Calcs'!N32*'Device Cost Input'!$C$34,0)/Million)</f>
        <v>0.2858972025</v>
      </c>
      <c r="P58" s="22">
        <f>IF(P5&lt;MAX('Platform Cost Inputs'!$H$15:$H$20),0,IF(P6&gt;=Initiative9_Year_when_Option_1_Customer_Load_Monitoring_and_Optimisation_Available,'Benefit Calcs'!O32*'Device Cost Input'!$C$34,0)/Million)</f>
        <v>0.33948692275000003</v>
      </c>
      <c r="Q58" s="22">
        <f>IF(Q5&lt;MAX('Platform Cost Inputs'!$H$15:$H$20),0,IF(Q6&gt;=Initiative9_Year_when_Option_1_Customer_Load_Monitoring_and_Optimisation_Available,'Benefit Calcs'!P32*'Device Cost Input'!$C$34,0)/Million)</f>
        <v>0.39843561502500002</v>
      </c>
      <c r="R58" s="22">
        <f>IF(R5&lt;MAX('Platform Cost Inputs'!$H$15:$H$20),0,IF(R6&gt;=Initiative9_Year_when_Option_1_Customer_Load_Monitoring_and_Optimisation_Available,'Benefit Calcs'!Q32*'Device Cost Input'!$C$34,0)/Million)</f>
        <v>0.46327917652750006</v>
      </c>
      <c r="S58" s="22">
        <f>IF(S5&lt;MAX('Platform Cost Inputs'!$H$15:$H$20),0,IF(S6&gt;=Initiative9_Year_when_Option_1_Customer_Load_Monitoring_and_Optimisation_Available,'Benefit Calcs'!R32*'Device Cost Input'!$C$34,0)/Million)</f>
        <v>0.53460709418024999</v>
      </c>
      <c r="T58" s="22">
        <f>IF(T5&lt;MAX('Platform Cost Inputs'!$H$15:$H$20),0,IF(T6&gt;=Initiative9_Year_when_Option_1_Customer_Load_Monitoring_and_Optimisation_Available,'Benefit Calcs'!S32*'Device Cost Input'!$C$34,0)/Million)</f>
        <v>0.61306780359827495</v>
      </c>
      <c r="U58" s="22">
        <f>IF(U5&lt;MAX('Platform Cost Inputs'!$H$15:$H$20),0,IF(U6&gt;=Initiative9_Year_when_Option_1_Customer_Load_Monitoring_and_Optimisation_Available,'Benefit Calcs'!T32*'Device Cost Input'!$C$34,0)/Million)</f>
        <v>0.69937458395810237</v>
      </c>
      <c r="V58" s="22">
        <f>IF(V5&lt;MAX('Platform Cost Inputs'!$H$15:$H$20),0,IF(V6&gt;=Initiative9_Year_when_Option_1_Customer_Load_Monitoring_and_Optimisation_Available,'Benefit Calcs'!U32*'Device Cost Input'!$C$34,0)/Million)</f>
        <v>0.79431204235391273</v>
      </c>
      <c r="W58" s="22">
        <f>IF(W5&lt;MAX('Platform Cost Inputs'!$H$15:$H$20),0,IF(W6&gt;=Initiative9_Year_when_Option_1_Customer_Load_Monitoring_and_Optimisation_Available,'Benefit Calcs'!V32*'Device Cost Input'!$C$34,0)/Million)</f>
        <v>0.89874324658930393</v>
      </c>
      <c r="X58" s="22">
        <f>IF(X5&lt;MAX('Platform Cost Inputs'!$H$15:$H$20),0,IF(X6&gt;=Initiative9_Year_when_Option_1_Customer_Load_Monitoring_and_Optimisation_Available,'Benefit Calcs'!W32*'Device Cost Input'!$C$34,0)/Million)</f>
        <v>1.0136175712482343</v>
      </c>
      <c r="Y58" s="22">
        <f>IF(Y5&lt;MAX('Platform Cost Inputs'!$H$15:$H$20),0,IF(Y6&gt;=Initiative9_Year_when_Option_1_Customer_Load_Monitoring_and_Optimisation_Available,'Benefit Calcs'!X32*'Device Cost Input'!$C$34,0)/Million)</f>
        <v>1.1399793283730577</v>
      </c>
      <c r="Z58" s="22">
        <f>IF(Z5&lt;MAX('Platform Cost Inputs'!$H$15:$H$20),0,IF(Z6&gt;=Initiative9_Year_when_Option_1_Customer_Load_Monitoring_and_Optimisation_Available,'Benefit Calcs'!Y32*'Device Cost Input'!$C$34,0)/Million)</f>
        <v>1.2789772612103636</v>
      </c>
    </row>
    <row r="59" spans="1:26" ht="15.75" x14ac:dyDescent="0.25">
      <c r="A59" s="22" t="s">
        <v>348</v>
      </c>
      <c r="B59" s="22" t="s">
        <v>7</v>
      </c>
      <c r="C59" s="30" t="s">
        <v>9</v>
      </c>
      <c r="D59" s="31">
        <f t="shared" ref="D59:D60" si="73">SUMPRODUCT(G59:Z59,G$7:Z$7)</f>
        <v>1.5692660840711843</v>
      </c>
      <c r="E59" s="59">
        <f t="shared" si="18"/>
        <v>2.125</v>
      </c>
      <c r="F59" s="59"/>
      <c r="G59" s="22">
        <f>IF(G5&lt;MAX('Platform Cost Inputs'!$H$15:$H$20),0,IF(G6&gt;=Initiative9_Year_when_Hot_Water_and_Solar_load_control_program_begins,'Device Cost Input'!$C$35*'Device Cost Input'!$C$29,0)/Million)</f>
        <v>0</v>
      </c>
      <c r="H59" s="22">
        <f>IF(H5&lt;MAX('Platform Cost Inputs'!$H$15:$H$20),0,IF(H6&gt;=Initiative9_Year_when_Hot_Water_and_Solar_load_control_program_begins,'Device Cost Input'!$C$35*'Device Cost Input'!$C$29,0)/Million)</f>
        <v>0</v>
      </c>
      <c r="I59" s="22">
        <f>IF(I5&lt;MAX('Platform Cost Inputs'!$H$15:$H$20),0,IF(I6&gt;=Initiative9_Year_when_Hot_Water_and_Solar_load_control_program_begins,'Device Cost Input'!$C$35*'Device Cost Input'!$C$29,0)/Million)</f>
        <v>0</v>
      </c>
      <c r="J59" s="22">
        <f>IF(J5&lt;MAX('Platform Cost Inputs'!$H$15:$H$20),0,IF(J6&gt;=Initiative9_Year_when_Hot_Water_and_Solar_load_control_program_begins,'Device Cost Input'!$C$35*'Device Cost Input'!$C$29,0)/Million)</f>
        <v>0.125</v>
      </c>
      <c r="K59" s="22">
        <f>IF(K5&lt;MAX('Platform Cost Inputs'!$H$15:$H$20),0,IF(K6&gt;=Initiative9_Year_when_Hot_Water_and_Solar_load_control_program_begins,'Device Cost Input'!$C$35*'Device Cost Input'!$C$29,0)/Million)</f>
        <v>0.125</v>
      </c>
      <c r="L59" s="22">
        <f>IF(L5&lt;MAX('Platform Cost Inputs'!$H$15:$H$20),0,IF(L6&gt;=Initiative9_Year_when_Hot_Water_and_Solar_load_control_program_begins,'Device Cost Input'!$C$35*'Device Cost Input'!$C$29,0)/Million)</f>
        <v>0.125</v>
      </c>
      <c r="M59" s="22">
        <f>IF(M5&lt;MAX('Platform Cost Inputs'!$H$15:$H$20),0,IF(M6&gt;=Initiative9_Year_when_Hot_Water_and_Solar_load_control_program_begins,'Device Cost Input'!$C$35*'Device Cost Input'!$C$29,0)/Million)</f>
        <v>0.125</v>
      </c>
      <c r="N59" s="22">
        <f>IF(N5&lt;MAX('Platform Cost Inputs'!$H$15:$H$20),0,IF(N6&gt;=Initiative9_Year_when_Hot_Water_and_Solar_load_control_program_begins,'Device Cost Input'!$C$35*'Device Cost Input'!$C$29,0)/Million)</f>
        <v>0.125</v>
      </c>
      <c r="O59" s="22">
        <f>IF(O5&lt;MAX('Platform Cost Inputs'!$H$15:$H$20),0,IF(O6&gt;=Initiative9_Year_when_Hot_Water_and_Solar_load_control_program_begins,'Device Cost Input'!$C$35*'Device Cost Input'!$C$29,0)/Million)</f>
        <v>0.125</v>
      </c>
      <c r="P59" s="22">
        <f>IF(P5&lt;MAX('Platform Cost Inputs'!$H$15:$H$20),0,IF(P6&gt;=Initiative9_Year_when_Hot_Water_and_Solar_load_control_program_begins,'Device Cost Input'!$C$35*'Device Cost Input'!$C$29,0)/Million)</f>
        <v>0.125</v>
      </c>
      <c r="Q59" s="22">
        <f>IF(Q5&lt;MAX('Platform Cost Inputs'!$H$15:$H$20),0,IF(Q6&gt;=Initiative9_Year_when_Hot_Water_and_Solar_load_control_program_begins,'Device Cost Input'!$C$35*'Device Cost Input'!$C$29,0)/Million)</f>
        <v>0.125</v>
      </c>
      <c r="R59" s="22">
        <f>IF(R5&lt;MAX('Platform Cost Inputs'!$H$15:$H$20),0,IF(R6&gt;=Initiative9_Year_when_Hot_Water_and_Solar_load_control_program_begins,'Device Cost Input'!$C$35*'Device Cost Input'!$C$29,0)/Million)</f>
        <v>0.125</v>
      </c>
      <c r="S59" s="22">
        <f>IF(S5&lt;MAX('Platform Cost Inputs'!$H$15:$H$20),0,IF(S6&gt;=Initiative9_Year_when_Hot_Water_and_Solar_load_control_program_begins,'Device Cost Input'!$C$35*'Device Cost Input'!$C$29,0)/Million)</f>
        <v>0.125</v>
      </c>
      <c r="T59" s="22">
        <f>IF(T5&lt;MAX('Platform Cost Inputs'!$H$15:$H$20),0,IF(T6&gt;=Initiative9_Year_when_Hot_Water_and_Solar_load_control_program_begins,'Device Cost Input'!$C$35*'Device Cost Input'!$C$29,0)/Million)</f>
        <v>0.125</v>
      </c>
      <c r="U59" s="22">
        <f>IF(U5&lt;MAX('Platform Cost Inputs'!$H$15:$H$20),0,IF(U6&gt;=Initiative9_Year_when_Hot_Water_and_Solar_load_control_program_begins,'Device Cost Input'!$C$35*'Device Cost Input'!$C$29,0)/Million)</f>
        <v>0.125</v>
      </c>
      <c r="V59" s="22">
        <f>IF(V5&lt;MAX('Platform Cost Inputs'!$H$15:$H$20),0,IF(V6&gt;=Initiative9_Year_when_Hot_Water_and_Solar_load_control_program_begins,'Device Cost Input'!$C$35*'Device Cost Input'!$C$29,0)/Million)</f>
        <v>0.125</v>
      </c>
      <c r="W59" s="22">
        <f>IF(W5&lt;MAX('Platform Cost Inputs'!$H$15:$H$20),0,IF(W6&gt;=Initiative9_Year_when_Hot_Water_and_Solar_load_control_program_begins,'Device Cost Input'!$C$35*'Device Cost Input'!$C$29,0)/Million)</f>
        <v>0.125</v>
      </c>
      <c r="X59" s="22">
        <f>IF(X5&lt;MAX('Platform Cost Inputs'!$H$15:$H$20),0,IF(X6&gt;=Initiative9_Year_when_Hot_Water_and_Solar_load_control_program_begins,'Device Cost Input'!$C$35*'Device Cost Input'!$C$29,0)/Million)</f>
        <v>0.125</v>
      </c>
      <c r="Y59" s="22">
        <f>IF(Y5&lt;MAX('Platform Cost Inputs'!$H$15:$H$20),0,IF(Y6&gt;=Initiative9_Year_when_Hot_Water_and_Solar_load_control_program_begins,'Device Cost Input'!$C$35*'Device Cost Input'!$C$29,0)/Million)</f>
        <v>0.125</v>
      </c>
      <c r="Z59" s="22">
        <f>IF(Z5&lt;MAX('Platform Cost Inputs'!$H$15:$H$20),0,IF(Z6&gt;=Initiative9_Year_when_Hot_Water_and_Solar_load_control_program_begins,'Device Cost Input'!$C$35*'Device Cost Input'!$C$29,0)/Million)</f>
        <v>0.125</v>
      </c>
    </row>
    <row r="60" spans="1:26" ht="15.75" x14ac:dyDescent="0.25">
      <c r="A60" s="22" t="s">
        <v>349</v>
      </c>
      <c r="B60" s="22" t="s">
        <v>7</v>
      </c>
      <c r="C60" s="30" t="s">
        <v>9</v>
      </c>
      <c r="D60" s="31">
        <f t="shared" si="73"/>
        <v>1.4878169487878565</v>
      </c>
      <c r="E60" s="59">
        <f t="shared" si="18"/>
        <v>2.125</v>
      </c>
      <c r="F60" s="59"/>
      <c r="G60" s="43">
        <f>IF(G5&lt;MAX('Platform Cost Inputs'!$H$15:$H$20),0,IF(G6&gt;=Initiative9_Year_when_Hot_Water_and_Solar_load_control_program_begins,'Benefit Calcs'!F37*'Device Cost Input'!$C$36,0)/Million)</f>
        <v>0</v>
      </c>
      <c r="H60" s="43">
        <f>IF(H5&lt;MAX('Platform Cost Inputs'!$H$15:$H$20),0,IF(H6&gt;=Initiative9_Year_when_Hot_Water_and_Solar_load_control_program_begins,'Benefit Calcs'!G37*'Device Cost Input'!$C$36,0)/Million)</f>
        <v>0</v>
      </c>
      <c r="I60" s="43">
        <f>IF(I5&lt;MAX('Platform Cost Inputs'!$H$15:$H$20),0,IF(I6&gt;=Initiative9_Year_when_Hot_Water_and_Solar_load_control_program_begins,'Benefit Calcs'!H37*'Device Cost Input'!$C$36,0)/Million)</f>
        <v>0</v>
      </c>
      <c r="J60" s="43">
        <f>IF(J5&lt;MAX('Platform Cost Inputs'!$H$15:$H$20),0,IF(J6&gt;=Initiative9_Year_when_Hot_Water_and_Solar_load_control_program_begins,'Benefit Calcs'!I37*'Device Cost Input'!$C$36,0)/Million)</f>
        <v>4.4999999999999998E-2</v>
      </c>
      <c r="K60" s="43">
        <f>IF(K5&lt;MAX('Platform Cost Inputs'!$H$15:$H$20),0,IF(K6&gt;=Initiative9_Year_when_Hot_Water_and_Solar_load_control_program_begins,'Benefit Calcs'!J37*'Device Cost Input'!$C$36,0)/Million)</f>
        <v>5.5E-2</v>
      </c>
      <c r="L60" s="43">
        <f>IF(L5&lt;MAX('Platform Cost Inputs'!$H$15:$H$20),0,IF(L6&gt;=Initiative9_Year_when_Hot_Water_and_Solar_load_control_program_begins,'Benefit Calcs'!K37*'Device Cost Input'!$C$36,0)/Million)</f>
        <v>6.5000000000000002E-2</v>
      </c>
      <c r="M60" s="43">
        <f>IF(M5&lt;MAX('Platform Cost Inputs'!$H$15:$H$20),0,IF(M6&gt;=Initiative9_Year_when_Hot_Water_and_Solar_load_control_program_begins,'Benefit Calcs'!L37*'Device Cost Input'!$C$36,0)/Million)</f>
        <v>7.4999999999999997E-2</v>
      </c>
      <c r="N60" s="43">
        <f>IF(N5&lt;MAX('Platform Cost Inputs'!$H$15:$H$20),0,IF(N6&gt;=Initiative9_Year_when_Hot_Water_and_Solar_load_control_program_begins,'Benefit Calcs'!M37*'Device Cost Input'!$C$36,0)/Million)</f>
        <v>8.5000000000000006E-2</v>
      </c>
      <c r="O60" s="43">
        <f>IF(O5&lt;MAX('Platform Cost Inputs'!$H$15:$H$20),0,IF(O6&gt;=Initiative9_Year_when_Hot_Water_and_Solar_load_control_program_begins,'Benefit Calcs'!N37*'Device Cost Input'!$C$36,0)/Million)</f>
        <v>9.5000000000000001E-2</v>
      </c>
      <c r="P60" s="43">
        <f>IF(P5&lt;MAX('Platform Cost Inputs'!$H$15:$H$20),0,IF(P6&gt;=Initiative9_Year_when_Hot_Water_and_Solar_load_control_program_begins,'Benefit Calcs'!O37*'Device Cost Input'!$C$36,0)/Million)</f>
        <v>0.105</v>
      </c>
      <c r="Q60" s="43">
        <f>IF(Q5&lt;MAX('Platform Cost Inputs'!$H$15:$H$20),0,IF(Q6&gt;=Initiative9_Year_when_Hot_Water_and_Solar_load_control_program_begins,'Benefit Calcs'!P37*'Device Cost Input'!$C$36,0)/Million)</f>
        <v>0.115</v>
      </c>
      <c r="R60" s="43">
        <f>IF(R5&lt;MAX('Platform Cost Inputs'!$H$15:$H$20),0,IF(R6&gt;=Initiative9_Year_when_Hot_Water_and_Solar_load_control_program_begins,'Benefit Calcs'!Q37*'Device Cost Input'!$C$36,0)/Million)</f>
        <v>0.125</v>
      </c>
      <c r="S60" s="43">
        <f>IF(S5&lt;MAX('Platform Cost Inputs'!$H$15:$H$20),0,IF(S6&gt;=Initiative9_Year_when_Hot_Water_and_Solar_load_control_program_begins,'Benefit Calcs'!R37*'Device Cost Input'!$C$36,0)/Million)</f>
        <v>0.13500000000000001</v>
      </c>
      <c r="T60" s="43">
        <f>IF(T5&lt;MAX('Platform Cost Inputs'!$H$15:$H$20),0,IF(T6&gt;=Initiative9_Year_when_Hot_Water_and_Solar_load_control_program_begins,'Benefit Calcs'!S37*'Device Cost Input'!$C$36,0)/Million)</f>
        <v>0.14499999999999999</v>
      </c>
      <c r="U60" s="43">
        <f>IF(U5&lt;MAX('Platform Cost Inputs'!$H$15:$H$20),0,IF(U6&gt;=Initiative9_Year_when_Hot_Water_and_Solar_load_control_program_begins,'Benefit Calcs'!T37*'Device Cost Input'!$C$36,0)/Million)</f>
        <v>0.155</v>
      </c>
      <c r="V60" s="43">
        <f>IF(V5&lt;MAX('Platform Cost Inputs'!$H$15:$H$20),0,IF(V6&gt;=Initiative9_Year_when_Hot_Water_and_Solar_load_control_program_begins,'Benefit Calcs'!U37*'Device Cost Input'!$C$36,0)/Million)</f>
        <v>0.16500000000000001</v>
      </c>
      <c r="W60" s="43">
        <f>IF(W5&lt;MAX('Platform Cost Inputs'!$H$15:$H$20),0,IF(W6&gt;=Initiative9_Year_when_Hot_Water_and_Solar_load_control_program_begins,'Benefit Calcs'!V37*'Device Cost Input'!$C$36,0)/Million)</f>
        <v>0.17499999999999999</v>
      </c>
      <c r="X60" s="43">
        <f>IF(X5&lt;MAX('Platform Cost Inputs'!$H$15:$H$20),0,IF(X6&gt;=Initiative9_Year_when_Hot_Water_and_Solar_load_control_program_begins,'Benefit Calcs'!W37*'Device Cost Input'!$C$36,0)/Million)</f>
        <v>0.185</v>
      </c>
      <c r="Y60" s="43">
        <f>IF(Y5&lt;MAX('Platform Cost Inputs'!$H$15:$H$20),0,IF(Y6&gt;=Initiative9_Year_when_Hot_Water_and_Solar_load_control_program_begins,'Benefit Calcs'!X37*'Device Cost Input'!$C$36,0)/Million)</f>
        <v>0.19500000000000001</v>
      </c>
      <c r="Z60" s="43">
        <f>IF(Z5&lt;MAX('Platform Cost Inputs'!$H$15:$H$20),0,IF(Z6&gt;=Initiative9_Year_when_Hot_Water_and_Solar_load_control_program_begins,'Benefit Calcs'!Y37*'Device Cost Input'!$C$36,0)/Million)</f>
        <v>0.20499999999999999</v>
      </c>
    </row>
    <row r="61" spans="1:26" s="1" customFormat="1" ht="15.75" x14ac:dyDescent="0.25">
      <c r="A61" s="211" t="s">
        <v>340</v>
      </c>
      <c r="B61" s="211" t="s">
        <v>7</v>
      </c>
      <c r="C61" s="212" t="str">
        <f>C60</f>
        <v>NPV</v>
      </c>
      <c r="D61" s="213">
        <f>SUM(D54:D60)</f>
        <v>29.632190914070961</v>
      </c>
      <c r="E61" s="214">
        <f>SUM(E54:E60)</f>
        <v>41.993963942269218</v>
      </c>
      <c r="F61" s="214"/>
      <c r="G61" s="215">
        <f t="shared" ref="G61:Z61" si="74">SUM(G54:G60)</f>
        <v>0</v>
      </c>
      <c r="H61" s="216">
        <f t="shared" si="74"/>
        <v>0</v>
      </c>
      <c r="I61" s="215">
        <f t="shared" si="74"/>
        <v>0.55000000000000004</v>
      </c>
      <c r="J61" s="215">
        <f t="shared" si="74"/>
        <v>1.326126960380112</v>
      </c>
      <c r="K61" s="215">
        <f t="shared" si="74"/>
        <v>1.3853114427794786</v>
      </c>
      <c r="L61" s="215">
        <f t="shared" si="74"/>
        <v>1.4554928917301706</v>
      </c>
      <c r="M61" s="215">
        <f t="shared" si="74"/>
        <v>1.5392308878172956</v>
      </c>
      <c r="N61" s="215">
        <f t="shared" si="74"/>
        <v>1.6356889743953369</v>
      </c>
      <c r="O61" s="215">
        <f t="shared" si="74"/>
        <v>1.7495419781909627</v>
      </c>
      <c r="P61" s="215">
        <f t="shared" si="74"/>
        <v>1.8766913295178078</v>
      </c>
      <c r="Q61" s="215">
        <f t="shared" si="74"/>
        <v>2.0263285287065766</v>
      </c>
      <c r="R61" s="215">
        <f t="shared" si="74"/>
        <v>2.1935278803323062</v>
      </c>
      <c r="S61" s="215">
        <f t="shared" si="74"/>
        <v>2.3723712516710469</v>
      </c>
      <c r="T61" s="215">
        <f t="shared" si="74"/>
        <v>2.580724182616478</v>
      </c>
      <c r="U61" s="215">
        <f t="shared" si="74"/>
        <v>2.8117041957323377</v>
      </c>
      <c r="V61" s="215">
        <f t="shared" si="74"/>
        <v>3.1191071419625622</v>
      </c>
      <c r="W61" s="215">
        <f t="shared" si="74"/>
        <v>3.4006867613468508</v>
      </c>
      <c r="X61" s="215">
        <f t="shared" si="74"/>
        <v>3.6972520891570118</v>
      </c>
      <c r="Y61" s="215">
        <f t="shared" si="74"/>
        <v>3.9910748875061342</v>
      </c>
      <c r="Z61" s="215">
        <f t="shared" si="74"/>
        <v>4.2831025584267506</v>
      </c>
    </row>
    <row r="62" spans="1:26" ht="16.5" customHeight="1" x14ac:dyDescent="0.25">
      <c r="A62" s="2"/>
      <c r="E62" s="59"/>
      <c r="F62" s="59"/>
    </row>
    <row r="63" spans="1:26" s="1" customFormat="1" ht="15.75" x14ac:dyDescent="0.25">
      <c r="A63" s="99" t="s">
        <v>259</v>
      </c>
      <c r="B63" s="211"/>
      <c r="C63" s="217" t="s">
        <v>9</v>
      </c>
      <c r="D63" s="218">
        <f ca="1">SUMPRODUCT(G63:Z63,G$7:Z$7)</f>
        <v>80.370501053047306</v>
      </c>
      <c r="E63" s="214">
        <f ca="1">E61+E51+E37+E23</f>
        <v>104.78658994226923</v>
      </c>
      <c r="F63" s="214"/>
      <c r="G63" s="216">
        <f t="shared" ref="G63:Z63" ca="1" si="75">IF(G6&lt;=Project_Assessment_Period,SUM(G23,G37,G51,G61),0)</f>
        <v>6.7182313333333337</v>
      </c>
      <c r="H63" s="216">
        <f t="shared" ca="1" si="75"/>
        <v>7.6320823333333339</v>
      </c>
      <c r="I63" s="215">
        <f t="shared" ca="1" si="75"/>
        <v>5.6008593333333332</v>
      </c>
      <c r="J63" s="215">
        <f t="shared" ca="1" si="75"/>
        <v>3.4289802937134448</v>
      </c>
      <c r="K63" s="215">
        <f t="shared" ca="1" si="75"/>
        <v>4.0555981094461453</v>
      </c>
      <c r="L63" s="215">
        <f t="shared" ca="1" si="75"/>
        <v>2.6274928917301708</v>
      </c>
      <c r="M63" s="215">
        <f t="shared" ca="1" si="75"/>
        <v>2.7112308878172957</v>
      </c>
      <c r="N63" s="215">
        <f t="shared" ca="1" si="75"/>
        <v>6.1668046410620034</v>
      </c>
      <c r="O63" s="215">
        <f t="shared" ca="1" si="75"/>
        <v>6.5875831448576294</v>
      </c>
      <c r="P63" s="215">
        <f t="shared" ca="1" si="75"/>
        <v>5.161120996184474</v>
      </c>
      <c r="Q63" s="215">
        <f t="shared" ca="1" si="75"/>
        <v>3.7627551953732432</v>
      </c>
      <c r="R63" s="215">
        <f t="shared" ca="1" si="75"/>
        <v>4.1826712136656399</v>
      </c>
      <c r="S63" s="215">
        <f t="shared" ca="1" si="75"/>
        <v>3.5443712516710471</v>
      </c>
      <c r="T63" s="215">
        <f t="shared" ca="1" si="75"/>
        <v>3.7527241826164781</v>
      </c>
      <c r="U63" s="215">
        <f t="shared" ca="1" si="75"/>
        <v>7.3428198623990042</v>
      </c>
      <c r="V63" s="215">
        <f t="shared" ca="1" si="75"/>
        <v>7.9571483086292289</v>
      </c>
      <c r="W63" s="215">
        <f t="shared" ca="1" si="75"/>
        <v>6.6851164280135169</v>
      </c>
      <c r="X63" s="215">
        <f t="shared" ca="1" si="75"/>
        <v>5.4336787558236788</v>
      </c>
      <c r="Y63" s="215">
        <f t="shared" ca="1" si="75"/>
        <v>5.9802182208394674</v>
      </c>
      <c r="Z63" s="215">
        <f t="shared" ca="1" si="75"/>
        <v>5.4551025584267503</v>
      </c>
    </row>
    <row r="64" spans="1:26" s="1" customFormat="1" ht="15.75" x14ac:dyDescent="0.25">
      <c r="A64" s="28"/>
      <c r="C64" s="67"/>
      <c r="D64" s="68"/>
      <c r="E64" s="66"/>
      <c r="F64" s="66"/>
      <c r="G64" s="34">
        <f ca="1">-G63</f>
        <v>-6.7182313333333337</v>
      </c>
      <c r="H64" s="34">
        <f t="shared" ref="H64:Z64" ca="1" si="76">-H63</f>
        <v>-7.6320823333333339</v>
      </c>
      <c r="I64" s="34">
        <f t="shared" ca="1" si="76"/>
        <v>-5.6008593333333332</v>
      </c>
      <c r="J64" s="34">
        <f t="shared" ca="1" si="76"/>
        <v>-3.4289802937134448</v>
      </c>
      <c r="K64" s="34">
        <f t="shared" ca="1" si="76"/>
        <v>-4.0555981094461453</v>
      </c>
      <c r="L64" s="34">
        <f t="shared" ca="1" si="76"/>
        <v>-2.6274928917301708</v>
      </c>
      <c r="M64" s="34">
        <f t="shared" ca="1" si="76"/>
        <v>-2.7112308878172957</v>
      </c>
      <c r="N64" s="34">
        <f t="shared" ca="1" si="76"/>
        <v>-6.1668046410620034</v>
      </c>
      <c r="O64" s="34">
        <f t="shared" ca="1" si="76"/>
        <v>-6.5875831448576294</v>
      </c>
      <c r="P64" s="34">
        <f t="shared" ca="1" si="76"/>
        <v>-5.161120996184474</v>
      </c>
      <c r="Q64" s="34">
        <f t="shared" ca="1" si="76"/>
        <v>-3.7627551953732432</v>
      </c>
      <c r="R64" s="34">
        <f t="shared" ca="1" si="76"/>
        <v>-4.1826712136656399</v>
      </c>
      <c r="S64" s="34">
        <f t="shared" ca="1" si="76"/>
        <v>-3.5443712516710471</v>
      </c>
      <c r="T64" s="34">
        <f t="shared" ca="1" si="76"/>
        <v>-3.7527241826164781</v>
      </c>
      <c r="U64" s="34">
        <f t="shared" ca="1" si="76"/>
        <v>-7.3428198623990042</v>
      </c>
      <c r="V64" s="34">
        <f t="shared" ca="1" si="76"/>
        <v>-7.9571483086292289</v>
      </c>
      <c r="W64" s="34">
        <f t="shared" ca="1" si="76"/>
        <v>-6.6851164280135169</v>
      </c>
      <c r="X64" s="34">
        <f t="shared" ca="1" si="76"/>
        <v>-5.4336787558236788</v>
      </c>
      <c r="Y64" s="34">
        <f t="shared" ca="1" si="76"/>
        <v>-5.9802182208394674</v>
      </c>
      <c r="Z64" s="34">
        <f t="shared" ca="1" si="76"/>
        <v>-5.4551025584267503</v>
      </c>
    </row>
    <row r="65" spans="1:33" s="1" customFormat="1" ht="15.75" x14ac:dyDescent="0.25">
      <c r="A65" s="99"/>
      <c r="B65" s="211"/>
      <c r="C65" s="217"/>
      <c r="D65" s="218"/>
      <c r="E65" s="214"/>
      <c r="F65" s="214"/>
      <c r="G65" s="216">
        <f ca="1">-G23-G51</f>
        <v>-6.7182313333333337</v>
      </c>
      <c r="H65" s="215">
        <f t="shared" ref="H65:Z65" ca="1" si="77">-H23-H51</f>
        <v>-7.332082333333334</v>
      </c>
      <c r="I65" s="215">
        <f t="shared" ca="1" si="77"/>
        <v>-4.2248593333333329</v>
      </c>
      <c r="J65" s="215">
        <f t="shared" ca="1" si="77"/>
        <v>-1.1288533333333333</v>
      </c>
      <c r="K65" s="215">
        <f t="shared" ca="1" si="77"/>
        <v>-1.6342866666666667</v>
      </c>
      <c r="L65" s="215">
        <f t="shared" ca="1" si="77"/>
        <v>0</v>
      </c>
      <c r="M65" s="215">
        <f t="shared" ca="1" si="77"/>
        <v>0</v>
      </c>
      <c r="N65" s="215">
        <f t="shared" ca="1" si="77"/>
        <v>-3.3591156666666668</v>
      </c>
      <c r="O65" s="215">
        <f t="shared" ca="1" si="77"/>
        <v>-3.666041166666667</v>
      </c>
      <c r="P65" s="215">
        <f t="shared" ca="1" si="77"/>
        <v>-2.1124296666666664</v>
      </c>
      <c r="Q65" s="215">
        <f t="shared" ca="1" si="77"/>
        <v>-0.56442666666666663</v>
      </c>
      <c r="R65" s="215">
        <f t="shared" ca="1" si="77"/>
        <v>-0.81714333333333333</v>
      </c>
      <c r="S65" s="215">
        <f t="shared" ca="1" si="77"/>
        <v>0</v>
      </c>
      <c r="T65" s="215">
        <f t="shared" ca="1" si="77"/>
        <v>0</v>
      </c>
      <c r="U65" s="215">
        <f t="shared" ca="1" si="77"/>
        <v>-3.3591156666666668</v>
      </c>
      <c r="V65" s="215">
        <f t="shared" ca="1" si="77"/>
        <v>-3.666041166666667</v>
      </c>
      <c r="W65" s="215">
        <f t="shared" ca="1" si="77"/>
        <v>-2.1124296666666664</v>
      </c>
      <c r="X65" s="215">
        <f t="shared" ca="1" si="77"/>
        <v>-0.56442666666666663</v>
      </c>
      <c r="Y65" s="215">
        <f t="shared" ca="1" si="77"/>
        <v>-0.81714333333333333</v>
      </c>
      <c r="Z65" s="215">
        <f t="shared" ca="1" si="77"/>
        <v>0</v>
      </c>
    </row>
    <row r="66" spans="1:33" x14ac:dyDescent="0.25">
      <c r="E66" s="60"/>
      <c r="F66" s="60"/>
    </row>
    <row r="67" spans="1:33" ht="18.75" x14ac:dyDescent="0.3">
      <c r="A67" s="45" t="s">
        <v>103</v>
      </c>
      <c r="B67" s="46"/>
      <c r="C67" s="46"/>
      <c r="D67" s="46"/>
      <c r="E67" s="61"/>
      <c r="F67" s="61"/>
      <c r="G67" s="46"/>
      <c r="H67" s="46"/>
      <c r="I67" s="46"/>
      <c r="J67" s="46"/>
      <c r="K67" s="46"/>
      <c r="L67" s="46"/>
      <c r="M67" s="46"/>
      <c r="N67" s="46"/>
      <c r="O67" s="46"/>
      <c r="P67" s="46"/>
      <c r="Q67" s="46"/>
      <c r="R67" s="46"/>
      <c r="S67" s="46"/>
      <c r="T67" s="46"/>
      <c r="U67" s="46"/>
      <c r="V67" s="46"/>
      <c r="W67" s="46"/>
      <c r="X67" s="46"/>
      <c r="Y67" s="46"/>
      <c r="Z67" s="46"/>
    </row>
    <row r="68" spans="1:33" x14ac:dyDescent="0.25">
      <c r="E68" s="60"/>
      <c r="F68" s="60"/>
    </row>
    <row r="69" spans="1:33" x14ac:dyDescent="0.25">
      <c r="A69" s="1" t="s">
        <v>76</v>
      </c>
      <c r="E69" s="58" t="s">
        <v>7</v>
      </c>
      <c r="F69" s="58"/>
    </row>
    <row r="70" spans="1:33" ht="15.75" x14ac:dyDescent="0.25">
      <c r="A70" s="26" t="s">
        <v>93</v>
      </c>
      <c r="B70" t="s">
        <v>7</v>
      </c>
      <c r="C70" s="3" t="s">
        <v>9</v>
      </c>
      <c r="D70" s="24">
        <f>SUMPRODUCT(G70:Z70,G$7:Z$7)</f>
        <v>2.0650191455393578</v>
      </c>
      <c r="E70" s="59">
        <f t="shared" ref="E70:E132" si="78">SUM(G70:Z70)</f>
        <v>2.112063</v>
      </c>
      <c r="F70" s="59"/>
      <c r="G70" s="7">
        <f>(IF(AND(G$5&gt;='Platform Cost Inputs'!$F8,G$5&lt;'Platform Cost Inputs'!$H8),(1/'Platform Cost Inputs'!$G8)*'Platform Cost Inputs'!$I8,0)-IF(AND(G$5&lt;'Platform Cost Inputs'!$H8,H$5&gt;'Platform Cost Inputs'!$H8),('Platform Cost Inputs'!$F8+'Platform Cost Inputs'!$G8-G$5)*'Platform Cost Inputs'!$I8/'Platform Cost Inputs'!$G8,0))/Million</f>
        <v>1.408042</v>
      </c>
      <c r="H70" s="7">
        <f>(IF(AND(H$5&gt;='Platform Cost Inputs'!$F8,H$5&lt;'Platform Cost Inputs'!$H8),(1/'Platform Cost Inputs'!$G8)*'Platform Cost Inputs'!$I8,0)-IF(AND(H$5&lt;'Platform Cost Inputs'!$H8,I$5&gt;'Platform Cost Inputs'!$H8),('Platform Cost Inputs'!$F8+'Platform Cost Inputs'!$G8-H$5)*'Platform Cost Inputs'!$I8/'Platform Cost Inputs'!$G8,0))/Million</f>
        <v>0.70402100000000001</v>
      </c>
      <c r="I70" s="7">
        <f>(IF(AND(I$5&gt;='Platform Cost Inputs'!$F8,I$5&lt;'Platform Cost Inputs'!$H8),(1/'Platform Cost Inputs'!$G8)*'Platform Cost Inputs'!$I8,0)-IF(AND(I$5&lt;'Platform Cost Inputs'!$H8,J$5&gt;'Platform Cost Inputs'!$H8),('Platform Cost Inputs'!$F8+'Platform Cost Inputs'!$G8-I$5)*'Platform Cost Inputs'!$I8/'Platform Cost Inputs'!$G8,0))/Million</f>
        <v>0</v>
      </c>
      <c r="J70" s="7">
        <f>(IF(AND(J$5&gt;='Platform Cost Inputs'!$F8,J$5&lt;'Platform Cost Inputs'!$H8),(1/'Platform Cost Inputs'!$G8)*'Platform Cost Inputs'!$I8,0)-IF(AND(J$5&lt;'Platform Cost Inputs'!$H8,K$5&gt;'Platform Cost Inputs'!$H8),('Platform Cost Inputs'!$F8+'Platform Cost Inputs'!$G8-J$5)*'Platform Cost Inputs'!$I8/'Platform Cost Inputs'!$G8,0))/Million</f>
        <v>0</v>
      </c>
      <c r="K70" s="7">
        <f>(IF(AND(K$5&gt;='Platform Cost Inputs'!$F8,K$5&lt;'Platform Cost Inputs'!$H8),(1/'Platform Cost Inputs'!$G8)*'Platform Cost Inputs'!$I8,0)-IF(AND(K$5&lt;'Platform Cost Inputs'!$H8,L$5&gt;'Platform Cost Inputs'!$H8),('Platform Cost Inputs'!$F8+'Platform Cost Inputs'!$G8-K$5)*'Platform Cost Inputs'!$I8/'Platform Cost Inputs'!$G8,0))/Million</f>
        <v>0</v>
      </c>
      <c r="L70" s="7">
        <f>(IF(AND(L$5&gt;='Platform Cost Inputs'!$F8,L$5&lt;'Platform Cost Inputs'!$H8),(1/'Platform Cost Inputs'!$G8)*'Platform Cost Inputs'!$I8,0)-IF(AND(L$5&lt;'Platform Cost Inputs'!$H8,M$5&gt;'Platform Cost Inputs'!$H8),('Platform Cost Inputs'!$F8+'Platform Cost Inputs'!$G8-L$5)*'Platform Cost Inputs'!$I8/'Platform Cost Inputs'!$G8,0))/Million</f>
        <v>0</v>
      </c>
      <c r="M70" s="7">
        <f>(IF(AND(M$5&gt;='Platform Cost Inputs'!$F8,M$5&lt;'Platform Cost Inputs'!$H8),(1/'Platform Cost Inputs'!$G8)*'Platform Cost Inputs'!$I8,0)-IF(AND(M$5&lt;'Platform Cost Inputs'!$H8,N$5&gt;'Platform Cost Inputs'!$H8),('Platform Cost Inputs'!$F8+'Platform Cost Inputs'!$G8-M$5)*'Platform Cost Inputs'!$I8/'Platform Cost Inputs'!$G8,0))/Million</f>
        <v>0</v>
      </c>
      <c r="N70" s="7">
        <f>(IF(AND(N$5&gt;='Platform Cost Inputs'!$F8,N$5&lt;'Platform Cost Inputs'!$H8),(1/'Platform Cost Inputs'!$G8)*'Platform Cost Inputs'!$I8,0)-IF(AND(N$5&lt;'Platform Cost Inputs'!$H8,O$5&gt;'Platform Cost Inputs'!$H8),('Platform Cost Inputs'!$F8+'Platform Cost Inputs'!$G8-N$5)*'Platform Cost Inputs'!$I8/'Platform Cost Inputs'!$G8,0))/Million</f>
        <v>0</v>
      </c>
      <c r="O70" s="7">
        <f>(IF(AND(O$5&gt;='Platform Cost Inputs'!$F8,O$5&lt;'Platform Cost Inputs'!$H8),(1/'Platform Cost Inputs'!$G8)*'Platform Cost Inputs'!$I8,0)-IF(AND(O$5&lt;'Platform Cost Inputs'!$H8,P$5&gt;'Platform Cost Inputs'!$H8),('Platform Cost Inputs'!$F8+'Platform Cost Inputs'!$G8-O$5)*'Platform Cost Inputs'!$I8/'Platform Cost Inputs'!$G8,0))/Million</f>
        <v>0</v>
      </c>
      <c r="P70" s="7">
        <f>(IF(AND(P$5&gt;='Platform Cost Inputs'!$F8,P$5&lt;'Platform Cost Inputs'!$H8),(1/'Platform Cost Inputs'!$G8)*'Platform Cost Inputs'!$I8,0)-IF(AND(P$5&lt;'Platform Cost Inputs'!$H8,Q$5&gt;'Platform Cost Inputs'!$H8),('Platform Cost Inputs'!$F8+'Platform Cost Inputs'!$G8-P$5)*'Platform Cost Inputs'!$I8/'Platform Cost Inputs'!$G8,0))/Million</f>
        <v>0</v>
      </c>
      <c r="Q70" s="7">
        <f>(IF(AND(Q$5&gt;='Platform Cost Inputs'!$F8,Q$5&lt;'Platform Cost Inputs'!$H8),(1/'Platform Cost Inputs'!$G8)*'Platform Cost Inputs'!$I8,0)-IF(AND(Q$5&lt;'Platform Cost Inputs'!$H8,R$5&gt;'Platform Cost Inputs'!$H8),('Platform Cost Inputs'!$F8+'Platform Cost Inputs'!$G8-Q$5)*'Platform Cost Inputs'!$I8/'Platform Cost Inputs'!$G8,0))/Million</f>
        <v>0</v>
      </c>
      <c r="R70" s="7">
        <f>(IF(AND(R$5&gt;='Platform Cost Inputs'!$F8,R$5&lt;'Platform Cost Inputs'!$H8),(1/'Platform Cost Inputs'!$G8)*'Platform Cost Inputs'!$I8,0)-IF(AND(R$5&lt;'Platform Cost Inputs'!$H8,S$5&gt;'Platform Cost Inputs'!$H8),('Platform Cost Inputs'!$F8+'Platform Cost Inputs'!$G8-R$5)*'Platform Cost Inputs'!$I8/'Platform Cost Inputs'!$G8,0))/Million</f>
        <v>0</v>
      </c>
      <c r="S70" s="7">
        <f>(IF(AND(S$5&gt;='Platform Cost Inputs'!$F8,S$5&lt;'Platform Cost Inputs'!$H8),(1/'Platform Cost Inputs'!$G8)*'Platform Cost Inputs'!$I8,0)-IF(AND(S$5&lt;'Platform Cost Inputs'!$H8,T$5&gt;'Platform Cost Inputs'!$H8),('Platform Cost Inputs'!$F8+'Platform Cost Inputs'!$G8-S$5)*'Platform Cost Inputs'!$I8/'Platform Cost Inputs'!$G8,0))/Million</f>
        <v>0</v>
      </c>
      <c r="T70" s="7">
        <f>(IF(AND(T$5&gt;='Platform Cost Inputs'!$F8,T$5&lt;'Platform Cost Inputs'!$H8),(1/'Platform Cost Inputs'!$G8)*'Platform Cost Inputs'!$I8,0)-IF(AND(T$5&lt;'Platform Cost Inputs'!$H8,U$5&gt;'Platform Cost Inputs'!$H8),('Platform Cost Inputs'!$F8+'Platform Cost Inputs'!$G8-T$5)*'Platform Cost Inputs'!$I8/'Platform Cost Inputs'!$G8,0))/Million</f>
        <v>0</v>
      </c>
      <c r="U70" s="7">
        <f>(IF(AND(U$5&gt;='Platform Cost Inputs'!$F8,U$5&lt;'Platform Cost Inputs'!$H8),(1/'Platform Cost Inputs'!$G8)*'Platform Cost Inputs'!$I8,0)-IF(AND(U$5&lt;'Platform Cost Inputs'!$H8,V$5&gt;'Platform Cost Inputs'!$H8),('Platform Cost Inputs'!$F8+'Platform Cost Inputs'!$G8-U$5)*'Platform Cost Inputs'!$I8/'Platform Cost Inputs'!$G8,0))/Million</f>
        <v>0</v>
      </c>
      <c r="V70" s="7">
        <f>(IF(AND(V$5&gt;='Platform Cost Inputs'!$F8,V$5&lt;'Platform Cost Inputs'!$H8),(1/'Platform Cost Inputs'!$G8)*'Platform Cost Inputs'!$I8,0)-IF(AND(V$5&lt;'Platform Cost Inputs'!$H8,W$5&gt;'Platform Cost Inputs'!$H8),('Platform Cost Inputs'!$F8+'Platform Cost Inputs'!$G8-V$5)*'Platform Cost Inputs'!$I8/'Platform Cost Inputs'!$G8,0))/Million</f>
        <v>0</v>
      </c>
      <c r="W70" s="7">
        <f>(IF(AND(W$5&gt;='Platform Cost Inputs'!$F8,W$5&lt;'Platform Cost Inputs'!$H8),(1/'Platform Cost Inputs'!$G8)*'Platform Cost Inputs'!$I8,0)-IF(AND(W$5&lt;'Platform Cost Inputs'!$H8,X$5&gt;'Platform Cost Inputs'!$H8),('Platform Cost Inputs'!$F8+'Platform Cost Inputs'!$G8-W$5)*'Platform Cost Inputs'!$I8/'Platform Cost Inputs'!$G8,0))/Million</f>
        <v>0</v>
      </c>
      <c r="X70" s="7">
        <f>(IF(AND(X$5&gt;='Platform Cost Inputs'!$F8,X$5&lt;'Platform Cost Inputs'!$H8),(1/'Platform Cost Inputs'!$G8)*'Platform Cost Inputs'!$I8,0)-IF(AND(X$5&lt;'Platform Cost Inputs'!$H8,Y$5&gt;'Platform Cost Inputs'!$H8),('Platform Cost Inputs'!$F8+'Platform Cost Inputs'!$G8-X$5)*'Platform Cost Inputs'!$I8/'Platform Cost Inputs'!$G8,0))/Million</f>
        <v>0</v>
      </c>
      <c r="Y70" s="7">
        <f>(IF(AND(Y$5&gt;='Platform Cost Inputs'!$F8,Y$5&lt;'Platform Cost Inputs'!$H8),(1/'Platform Cost Inputs'!$G8)*'Platform Cost Inputs'!$I8,0)-IF(AND(Y$5&lt;'Platform Cost Inputs'!$H8,Z$5&gt;'Platform Cost Inputs'!$H8),('Platform Cost Inputs'!$F8+'Platform Cost Inputs'!$G8-Y$5)*'Platform Cost Inputs'!$I8/'Platform Cost Inputs'!$G8,0))/Million</f>
        <v>0</v>
      </c>
      <c r="Z70" s="7">
        <f>(IF(AND(Z$5&gt;='Platform Cost Inputs'!$F8,Z$5&lt;'Platform Cost Inputs'!$H8),(1/'Platform Cost Inputs'!$G8)*'Platform Cost Inputs'!$I8,0)-IF(AND(Z$5&lt;'Platform Cost Inputs'!$H8,AA$5&gt;'Platform Cost Inputs'!$H8),('Platform Cost Inputs'!$F8+'Platform Cost Inputs'!$G8-Z$5)*'Platform Cost Inputs'!$I8/'Platform Cost Inputs'!$G8,0))/Million</f>
        <v>0</v>
      </c>
      <c r="AA70" s="7"/>
      <c r="AB70" s="7"/>
      <c r="AC70" s="7"/>
      <c r="AD70" s="7"/>
      <c r="AE70" s="7"/>
      <c r="AF70" s="7"/>
      <c r="AG70" s="7"/>
    </row>
    <row r="71" spans="1:33" ht="15.75" x14ac:dyDescent="0.25">
      <c r="A71" t="s">
        <v>95</v>
      </c>
      <c r="B71" t="s">
        <v>7</v>
      </c>
      <c r="C71" s="3" t="s">
        <v>9</v>
      </c>
      <c r="D71" s="24">
        <f t="shared" ref="D71:D74" si="79">SUMPRODUCT(G71:Z71,G$7:Z$7)</f>
        <v>4.7784762401687306</v>
      </c>
      <c r="E71" s="59">
        <f t="shared" si="78"/>
        <v>5.0798399999999999</v>
      </c>
      <c r="F71" s="59"/>
      <c r="G71" s="7">
        <f>(IF(AND(G$5&gt;='Platform Cost Inputs'!$F9,G$5&lt;'Platform Cost Inputs'!$H9),(1/'Platform Cost Inputs'!$G9)*'Platform Cost Inputs'!$I9,0)-IF(AND(G$5&lt;'Platform Cost Inputs'!$H9,H$5&gt;'Platform Cost Inputs'!$H9),('Platform Cost Inputs'!$F9+'Platform Cost Inputs'!$G9-G$5)*'Platform Cost Inputs'!$I9/'Platform Cost Inputs'!$G9,0))/Million</f>
        <v>1.1288533333333333</v>
      </c>
      <c r="H71" s="7">
        <f>(IF(AND(H$5&gt;='Platform Cost Inputs'!$F9,H$5&lt;'Platform Cost Inputs'!$H9),(1/'Platform Cost Inputs'!$G9)*'Platform Cost Inputs'!$I9,0)-IF(AND(H$5&lt;'Platform Cost Inputs'!$H9,I$5&gt;'Platform Cost Inputs'!$H9),('Platform Cost Inputs'!$F9+'Platform Cost Inputs'!$G9-H$5)*'Platform Cost Inputs'!$I9/'Platform Cost Inputs'!$G9,0))/Million</f>
        <v>1.1288533333333333</v>
      </c>
      <c r="I71" s="7">
        <f>(IF(AND(I$5&gt;='Platform Cost Inputs'!$F9,I$5&lt;'Platform Cost Inputs'!$H9),(1/'Platform Cost Inputs'!$G9)*'Platform Cost Inputs'!$I9,0)-IF(AND(I$5&lt;'Platform Cost Inputs'!$H9,J$5&gt;'Platform Cost Inputs'!$H9),('Platform Cost Inputs'!$F9+'Platform Cost Inputs'!$G9-I$5)*'Platform Cost Inputs'!$I9/'Platform Cost Inputs'!$G9,0))/Million</f>
        <v>1.1288533333333333</v>
      </c>
      <c r="J71" s="7">
        <f>(IF(AND(J$5&gt;='Platform Cost Inputs'!$F9,J$5&lt;'Platform Cost Inputs'!$H9),(1/'Platform Cost Inputs'!$G9)*'Platform Cost Inputs'!$I9,0)-IF(AND(J$5&lt;'Platform Cost Inputs'!$H9,K$5&gt;'Platform Cost Inputs'!$H9),('Platform Cost Inputs'!$F9+'Platform Cost Inputs'!$G9-J$5)*'Platform Cost Inputs'!$I9/'Platform Cost Inputs'!$G9,0))/Million</f>
        <v>1.1288533333333333</v>
      </c>
      <c r="K71" s="7">
        <f>(IF(AND(K$5&gt;='Platform Cost Inputs'!$F9,K$5&lt;'Platform Cost Inputs'!$H9),(1/'Platform Cost Inputs'!$G9)*'Platform Cost Inputs'!$I9,0)-IF(AND(K$5&lt;'Platform Cost Inputs'!$H9,L$5&gt;'Platform Cost Inputs'!$H9),('Platform Cost Inputs'!$F9+'Platform Cost Inputs'!$G9-K$5)*'Platform Cost Inputs'!$I9/'Platform Cost Inputs'!$G9,0))/Million</f>
        <v>0.56442666666666663</v>
      </c>
      <c r="L71" s="7">
        <f>(IF(AND(L$5&gt;='Platform Cost Inputs'!$F9,L$5&lt;'Platform Cost Inputs'!$H9),(1/'Platform Cost Inputs'!$G9)*'Platform Cost Inputs'!$I9,0)-IF(AND(L$5&lt;'Platform Cost Inputs'!$H9,M$5&gt;'Platform Cost Inputs'!$H9),('Platform Cost Inputs'!$F9+'Platform Cost Inputs'!$G9-L$5)*'Platform Cost Inputs'!$I9/'Platform Cost Inputs'!$G9,0))/Million</f>
        <v>0</v>
      </c>
      <c r="M71" s="7">
        <f>(IF(AND(M$5&gt;='Platform Cost Inputs'!$F9,M$5&lt;'Platform Cost Inputs'!$H9),(1/'Platform Cost Inputs'!$G9)*'Platform Cost Inputs'!$I9,0)-IF(AND(M$5&lt;'Platform Cost Inputs'!$H9,N$5&gt;'Platform Cost Inputs'!$H9),('Platform Cost Inputs'!$F9+'Platform Cost Inputs'!$G9-M$5)*'Platform Cost Inputs'!$I9/'Platform Cost Inputs'!$G9,0))/Million</f>
        <v>0</v>
      </c>
      <c r="N71" s="7">
        <f>(IF(AND(N$5&gt;='Platform Cost Inputs'!$F9,N$5&lt;'Platform Cost Inputs'!$H9),(1/'Platform Cost Inputs'!$G9)*'Platform Cost Inputs'!$I9,0)-IF(AND(N$5&lt;'Platform Cost Inputs'!$H9,O$5&gt;'Platform Cost Inputs'!$H9),('Platform Cost Inputs'!$F9+'Platform Cost Inputs'!$G9-N$5)*'Platform Cost Inputs'!$I9/'Platform Cost Inputs'!$G9,0))/Million</f>
        <v>0</v>
      </c>
      <c r="O71" s="7">
        <f>(IF(AND(O$5&gt;='Platform Cost Inputs'!$F9,O$5&lt;'Platform Cost Inputs'!$H9),(1/'Platform Cost Inputs'!$G9)*'Platform Cost Inputs'!$I9,0)-IF(AND(O$5&lt;'Platform Cost Inputs'!$H9,P$5&gt;'Platform Cost Inputs'!$H9),('Platform Cost Inputs'!$F9+'Platform Cost Inputs'!$G9-O$5)*'Platform Cost Inputs'!$I9/'Platform Cost Inputs'!$G9,0))/Million</f>
        <v>0</v>
      </c>
      <c r="P71" s="7">
        <f>(IF(AND(P$5&gt;='Platform Cost Inputs'!$F9,P$5&lt;'Platform Cost Inputs'!$H9),(1/'Platform Cost Inputs'!$G9)*'Platform Cost Inputs'!$I9,0)-IF(AND(P$5&lt;'Platform Cost Inputs'!$H9,Q$5&gt;'Platform Cost Inputs'!$H9),('Platform Cost Inputs'!$F9+'Platform Cost Inputs'!$G9-P$5)*'Platform Cost Inputs'!$I9/'Platform Cost Inputs'!$G9,0))/Million</f>
        <v>0</v>
      </c>
      <c r="Q71" s="7">
        <f>(IF(AND(Q$5&gt;='Platform Cost Inputs'!$F9,Q$5&lt;'Platform Cost Inputs'!$H9),(1/'Platform Cost Inputs'!$G9)*'Platform Cost Inputs'!$I9,0)-IF(AND(Q$5&lt;'Platform Cost Inputs'!$H9,R$5&gt;'Platform Cost Inputs'!$H9),('Platform Cost Inputs'!$F9+'Platform Cost Inputs'!$G9-Q$5)*'Platform Cost Inputs'!$I9/'Platform Cost Inputs'!$G9,0))/Million</f>
        <v>0</v>
      </c>
      <c r="R71" s="7">
        <f>(IF(AND(R$5&gt;='Platform Cost Inputs'!$F9,R$5&lt;'Platform Cost Inputs'!$H9),(1/'Platform Cost Inputs'!$G9)*'Platform Cost Inputs'!$I9,0)-IF(AND(R$5&lt;'Platform Cost Inputs'!$H9,S$5&gt;'Platform Cost Inputs'!$H9),('Platform Cost Inputs'!$F9+'Platform Cost Inputs'!$G9-R$5)*'Platform Cost Inputs'!$I9/'Platform Cost Inputs'!$G9,0))/Million</f>
        <v>0</v>
      </c>
      <c r="S71" s="7">
        <f>(IF(AND(S$5&gt;='Platform Cost Inputs'!$F9,S$5&lt;'Platform Cost Inputs'!$H9),(1/'Platform Cost Inputs'!$G9)*'Platform Cost Inputs'!$I9,0)-IF(AND(S$5&lt;'Platform Cost Inputs'!$H9,T$5&gt;'Platform Cost Inputs'!$H9),('Platform Cost Inputs'!$F9+'Platform Cost Inputs'!$G9-S$5)*'Platform Cost Inputs'!$I9/'Platform Cost Inputs'!$G9,0))/Million</f>
        <v>0</v>
      </c>
      <c r="T71" s="7">
        <f>(IF(AND(T$5&gt;='Platform Cost Inputs'!$F9,T$5&lt;'Platform Cost Inputs'!$H9),(1/'Platform Cost Inputs'!$G9)*'Platform Cost Inputs'!$I9,0)-IF(AND(T$5&lt;'Platform Cost Inputs'!$H9,U$5&gt;'Platform Cost Inputs'!$H9),('Platform Cost Inputs'!$F9+'Platform Cost Inputs'!$G9-T$5)*'Platform Cost Inputs'!$I9/'Platform Cost Inputs'!$G9,0))/Million</f>
        <v>0</v>
      </c>
      <c r="U71" s="7">
        <f>(IF(AND(U$5&gt;='Platform Cost Inputs'!$F9,U$5&lt;'Platform Cost Inputs'!$H9),(1/'Platform Cost Inputs'!$G9)*'Platform Cost Inputs'!$I9,0)-IF(AND(U$5&lt;'Platform Cost Inputs'!$H9,V$5&gt;'Platform Cost Inputs'!$H9),('Platform Cost Inputs'!$F9+'Platform Cost Inputs'!$G9-U$5)*'Platform Cost Inputs'!$I9/'Platform Cost Inputs'!$G9,0))/Million</f>
        <v>0</v>
      </c>
      <c r="V71" s="7">
        <f>(IF(AND(V$5&gt;='Platform Cost Inputs'!$F9,V$5&lt;'Platform Cost Inputs'!$H9),(1/'Platform Cost Inputs'!$G9)*'Platform Cost Inputs'!$I9,0)-IF(AND(V$5&lt;'Platform Cost Inputs'!$H9,W$5&gt;'Platform Cost Inputs'!$H9),('Platform Cost Inputs'!$F9+'Platform Cost Inputs'!$G9-V$5)*'Platform Cost Inputs'!$I9/'Platform Cost Inputs'!$G9,0))/Million</f>
        <v>0</v>
      </c>
      <c r="W71" s="7">
        <f>(IF(AND(W$5&gt;='Platform Cost Inputs'!$F9,W$5&lt;'Platform Cost Inputs'!$H9),(1/'Platform Cost Inputs'!$G9)*'Platform Cost Inputs'!$I9,0)-IF(AND(W$5&lt;'Platform Cost Inputs'!$H9,X$5&gt;'Platform Cost Inputs'!$H9),('Platform Cost Inputs'!$F9+'Platform Cost Inputs'!$G9-W$5)*'Platform Cost Inputs'!$I9/'Platform Cost Inputs'!$G9,0))/Million</f>
        <v>0</v>
      </c>
      <c r="X71" s="7">
        <f>(IF(AND(X$5&gt;='Platform Cost Inputs'!$F9,X$5&lt;'Platform Cost Inputs'!$H9),(1/'Platform Cost Inputs'!$G9)*'Platform Cost Inputs'!$I9,0)-IF(AND(X$5&lt;'Platform Cost Inputs'!$H9,Y$5&gt;'Platform Cost Inputs'!$H9),('Platform Cost Inputs'!$F9+'Platform Cost Inputs'!$G9-X$5)*'Platform Cost Inputs'!$I9/'Platform Cost Inputs'!$G9,0))/Million</f>
        <v>0</v>
      </c>
      <c r="Y71" s="7">
        <f>(IF(AND(Y$5&gt;='Platform Cost Inputs'!$F9,Y$5&lt;'Platform Cost Inputs'!$H9),(1/'Platform Cost Inputs'!$G9)*'Platform Cost Inputs'!$I9,0)-IF(AND(Y$5&lt;'Platform Cost Inputs'!$H9,Z$5&gt;'Platform Cost Inputs'!$H9),('Platform Cost Inputs'!$F9+'Platform Cost Inputs'!$G9-Y$5)*'Platform Cost Inputs'!$I9/'Platform Cost Inputs'!$G9,0))/Million</f>
        <v>0</v>
      </c>
      <c r="Z71" s="7">
        <f>(IF(AND(Z$5&gt;='Platform Cost Inputs'!$F9,Z$5&lt;'Platform Cost Inputs'!$H9),(1/'Platform Cost Inputs'!$G9)*'Platform Cost Inputs'!$I9,0)-IF(AND(Z$5&lt;'Platform Cost Inputs'!$H9,AA$5&gt;'Platform Cost Inputs'!$H9),('Platform Cost Inputs'!$F9+'Platform Cost Inputs'!$G9-Z$5)*'Platform Cost Inputs'!$I9/'Platform Cost Inputs'!$G9,0))/Million</f>
        <v>0</v>
      </c>
      <c r="AA71" s="7"/>
      <c r="AB71" s="7"/>
      <c r="AC71" s="7"/>
      <c r="AD71" s="7"/>
      <c r="AE71" s="7"/>
      <c r="AF71" s="7"/>
      <c r="AG71" s="7"/>
    </row>
    <row r="72" spans="1:33" ht="15.75" x14ac:dyDescent="0.25">
      <c r="A72" t="s">
        <v>101</v>
      </c>
      <c r="B72" t="s">
        <v>7</v>
      </c>
      <c r="C72" s="3" t="s">
        <v>9</v>
      </c>
      <c r="D72" s="24">
        <f t="shared" ref="D72:D73" si="80">SUMPRODUCT(G72:Z72,G$7:Z$7)</f>
        <v>1.1443139994769158</v>
      </c>
      <c r="E72" s="59">
        <f t="shared" si="78"/>
        <v>1.19184</v>
      </c>
      <c r="F72" s="59"/>
      <c r="G72" s="7">
        <f>(IF(AND(G$5&gt;='Platform Cost Inputs'!$F11,G$5&lt;'Platform Cost Inputs'!$H11),(1/'Platform Cost Inputs'!$G11)*'Platform Cost Inputs'!$I11,0)-IF(AND(G$5&lt;'Platform Cost Inputs'!$H11,H$5&gt;'Platform Cost Inputs'!$H11),('Platform Cost Inputs'!$F11+'Platform Cost Inputs'!$G11-G$5)*'Platform Cost Inputs'!$I11/'Platform Cost Inputs'!$G11,0))/Million</f>
        <v>0</v>
      </c>
      <c r="H72" s="7">
        <f>(IF(AND(H$5&gt;='Platform Cost Inputs'!$F11,H$5&lt;'Platform Cost Inputs'!$H11),(1/'Platform Cost Inputs'!$G11)*'Platform Cost Inputs'!$I11,0)-IF(AND(H$5&lt;'Platform Cost Inputs'!$H11,I$5&gt;'Platform Cost Inputs'!$H11),('Platform Cost Inputs'!$F11+'Platform Cost Inputs'!$G11-H$5)*'Platform Cost Inputs'!$I11/'Platform Cost Inputs'!$G11,0))/Million</f>
        <v>1.19184</v>
      </c>
      <c r="I72" s="7">
        <f>(IF(AND(I$5&gt;='Platform Cost Inputs'!$F11,I$5&lt;'Platform Cost Inputs'!$H11),(1/'Platform Cost Inputs'!$G11)*'Platform Cost Inputs'!$I11,0)-IF(AND(I$5&lt;'Platform Cost Inputs'!$H11,J$5&gt;'Platform Cost Inputs'!$H11),('Platform Cost Inputs'!$F11+'Platform Cost Inputs'!$G11-I$5)*'Platform Cost Inputs'!$I11/'Platform Cost Inputs'!$G11,0))/Million</f>
        <v>0</v>
      </c>
      <c r="J72" s="7">
        <f>(IF(AND(J$5&gt;='Platform Cost Inputs'!$F11,J$5&lt;'Platform Cost Inputs'!$H11),(1/'Platform Cost Inputs'!$G11)*'Platform Cost Inputs'!$I11,0)-IF(AND(J$5&lt;'Platform Cost Inputs'!$H11,K$5&gt;'Platform Cost Inputs'!$H11),('Platform Cost Inputs'!$F11+'Platform Cost Inputs'!$G11-J$5)*'Platform Cost Inputs'!$I11/'Platform Cost Inputs'!$G11,0))/Million</f>
        <v>0</v>
      </c>
      <c r="K72" s="7">
        <f>(IF(AND(K$5&gt;='Platform Cost Inputs'!$F11,K$5&lt;'Platform Cost Inputs'!$H11),(1/'Platform Cost Inputs'!$G11)*'Platform Cost Inputs'!$I11,0)-IF(AND(K$5&lt;'Platform Cost Inputs'!$H11,L$5&gt;'Platform Cost Inputs'!$H11),('Platform Cost Inputs'!$F11+'Platform Cost Inputs'!$G11-K$5)*'Platform Cost Inputs'!$I11/'Platform Cost Inputs'!$G11,0))/Million</f>
        <v>0</v>
      </c>
      <c r="L72" s="7">
        <f>(IF(AND(L$5&gt;='Platform Cost Inputs'!$F11,L$5&lt;'Platform Cost Inputs'!$H11),(1/'Platform Cost Inputs'!$G11)*'Platform Cost Inputs'!$I11,0)-IF(AND(L$5&lt;'Platform Cost Inputs'!$H11,M$5&gt;'Platform Cost Inputs'!$H11),('Platform Cost Inputs'!$F11+'Platform Cost Inputs'!$G11-L$5)*'Platform Cost Inputs'!$I11/'Platform Cost Inputs'!$G11,0))/Million</f>
        <v>0</v>
      </c>
      <c r="M72" s="7">
        <f>(IF(AND(M$5&gt;='Platform Cost Inputs'!$F11,M$5&lt;'Platform Cost Inputs'!$H11),(1/'Platform Cost Inputs'!$G11)*'Platform Cost Inputs'!$I11,0)-IF(AND(M$5&lt;'Platform Cost Inputs'!$H11,N$5&gt;'Platform Cost Inputs'!$H11),('Platform Cost Inputs'!$F11+'Platform Cost Inputs'!$G11-M$5)*'Platform Cost Inputs'!$I11/'Platform Cost Inputs'!$G11,0))/Million</f>
        <v>0</v>
      </c>
      <c r="N72" s="7">
        <f>(IF(AND(N$5&gt;='Platform Cost Inputs'!$F11,N$5&lt;'Platform Cost Inputs'!$H11),(1/'Platform Cost Inputs'!$G11)*'Platform Cost Inputs'!$I11,0)-IF(AND(N$5&lt;'Platform Cost Inputs'!$H11,O$5&gt;'Platform Cost Inputs'!$H11),('Platform Cost Inputs'!$F11+'Platform Cost Inputs'!$G11-N$5)*'Platform Cost Inputs'!$I11/'Platform Cost Inputs'!$G11,0))/Million</f>
        <v>0</v>
      </c>
      <c r="O72" s="7">
        <f>(IF(AND(O$5&gt;='Platform Cost Inputs'!$F11,O$5&lt;'Platform Cost Inputs'!$H11),(1/'Platform Cost Inputs'!$G11)*'Platform Cost Inputs'!$I11,0)-IF(AND(O$5&lt;'Platform Cost Inputs'!$H11,P$5&gt;'Platform Cost Inputs'!$H11),('Platform Cost Inputs'!$F11+'Platform Cost Inputs'!$G11-O$5)*'Platform Cost Inputs'!$I11/'Platform Cost Inputs'!$G11,0))/Million</f>
        <v>0</v>
      </c>
      <c r="P72" s="7">
        <f>(IF(AND(P$5&gt;='Platform Cost Inputs'!$F11,P$5&lt;'Platform Cost Inputs'!$H11),(1/'Platform Cost Inputs'!$G11)*'Platform Cost Inputs'!$I11,0)-IF(AND(P$5&lt;'Platform Cost Inputs'!$H11,Q$5&gt;'Platform Cost Inputs'!$H11),('Platform Cost Inputs'!$F11+'Platform Cost Inputs'!$G11-P$5)*'Platform Cost Inputs'!$I11/'Platform Cost Inputs'!$G11,0))/Million</f>
        <v>0</v>
      </c>
      <c r="Q72" s="7">
        <f>(IF(AND(Q$5&gt;='Platform Cost Inputs'!$F11,Q$5&lt;'Platform Cost Inputs'!$H11),(1/'Platform Cost Inputs'!$G11)*'Platform Cost Inputs'!$I11,0)-IF(AND(Q$5&lt;'Platform Cost Inputs'!$H11,R$5&gt;'Platform Cost Inputs'!$H11),('Platform Cost Inputs'!$F11+'Platform Cost Inputs'!$G11-Q$5)*'Platform Cost Inputs'!$I11/'Platform Cost Inputs'!$G11,0))/Million</f>
        <v>0</v>
      </c>
      <c r="R72" s="7">
        <f>(IF(AND(R$5&gt;='Platform Cost Inputs'!$F11,R$5&lt;'Platform Cost Inputs'!$H11),(1/'Platform Cost Inputs'!$G11)*'Platform Cost Inputs'!$I11,0)-IF(AND(R$5&lt;'Platform Cost Inputs'!$H11,S$5&gt;'Platform Cost Inputs'!$H11),('Platform Cost Inputs'!$F11+'Platform Cost Inputs'!$G11-R$5)*'Platform Cost Inputs'!$I11/'Platform Cost Inputs'!$G11,0))/Million</f>
        <v>0</v>
      </c>
      <c r="S72" s="7">
        <f>(IF(AND(S$5&gt;='Platform Cost Inputs'!$F11,S$5&lt;'Platform Cost Inputs'!$H11),(1/'Platform Cost Inputs'!$G11)*'Platform Cost Inputs'!$I11,0)-IF(AND(S$5&lt;'Platform Cost Inputs'!$H11,T$5&gt;'Platform Cost Inputs'!$H11),('Platform Cost Inputs'!$F11+'Platform Cost Inputs'!$G11-S$5)*'Platform Cost Inputs'!$I11/'Platform Cost Inputs'!$G11,0))/Million</f>
        <v>0</v>
      </c>
      <c r="T72" s="7">
        <f>(IF(AND(T$5&gt;='Platform Cost Inputs'!$F11,T$5&lt;'Platform Cost Inputs'!$H11),(1/'Platform Cost Inputs'!$G11)*'Platform Cost Inputs'!$I11,0)-IF(AND(T$5&lt;'Platform Cost Inputs'!$H11,U$5&gt;'Platform Cost Inputs'!$H11),('Platform Cost Inputs'!$F11+'Platform Cost Inputs'!$G11-T$5)*'Platform Cost Inputs'!$I11/'Platform Cost Inputs'!$G11,0))/Million</f>
        <v>0</v>
      </c>
      <c r="U72" s="7">
        <f>(IF(AND(U$5&gt;='Platform Cost Inputs'!$F11,U$5&lt;'Platform Cost Inputs'!$H11),(1/'Platform Cost Inputs'!$G11)*'Platform Cost Inputs'!$I11,0)-IF(AND(U$5&lt;'Platform Cost Inputs'!$H11,V$5&gt;'Platform Cost Inputs'!$H11),('Platform Cost Inputs'!$F11+'Platform Cost Inputs'!$G11-U$5)*'Platform Cost Inputs'!$I11/'Platform Cost Inputs'!$G11,0))/Million</f>
        <v>0</v>
      </c>
      <c r="V72" s="7">
        <f>(IF(AND(V$5&gt;='Platform Cost Inputs'!$F11,V$5&lt;'Platform Cost Inputs'!$H11),(1/'Platform Cost Inputs'!$G11)*'Platform Cost Inputs'!$I11,0)-IF(AND(V$5&lt;'Platform Cost Inputs'!$H11,W$5&gt;'Platform Cost Inputs'!$H11),('Platform Cost Inputs'!$F11+'Platform Cost Inputs'!$G11-V$5)*'Platform Cost Inputs'!$I11/'Platform Cost Inputs'!$G11,0))/Million</f>
        <v>0</v>
      </c>
      <c r="W72" s="7">
        <f>(IF(AND(W$5&gt;='Platform Cost Inputs'!$F11,W$5&lt;'Platform Cost Inputs'!$H11),(1/'Platform Cost Inputs'!$G11)*'Platform Cost Inputs'!$I11,0)-IF(AND(W$5&lt;'Platform Cost Inputs'!$H11,X$5&gt;'Platform Cost Inputs'!$H11),('Platform Cost Inputs'!$F11+'Platform Cost Inputs'!$G11-W$5)*'Platform Cost Inputs'!$I11/'Platform Cost Inputs'!$G11,0))/Million</f>
        <v>0</v>
      </c>
      <c r="X72" s="7">
        <f>(IF(AND(X$5&gt;='Platform Cost Inputs'!$F11,X$5&lt;'Platform Cost Inputs'!$H11),(1/'Platform Cost Inputs'!$G11)*'Platform Cost Inputs'!$I11,0)-IF(AND(X$5&lt;'Platform Cost Inputs'!$H11,Y$5&gt;'Platform Cost Inputs'!$H11),('Platform Cost Inputs'!$F11+'Platform Cost Inputs'!$G11-X$5)*'Platform Cost Inputs'!$I11/'Platform Cost Inputs'!$G11,0))/Million</f>
        <v>0</v>
      </c>
      <c r="Y72" s="7">
        <f>(IF(AND(Y$5&gt;='Platform Cost Inputs'!$F11,Y$5&lt;'Platform Cost Inputs'!$H11),(1/'Platform Cost Inputs'!$G11)*'Platform Cost Inputs'!$I11,0)-IF(AND(Y$5&lt;'Platform Cost Inputs'!$H11,Z$5&gt;'Platform Cost Inputs'!$H11),('Platform Cost Inputs'!$F11+'Platform Cost Inputs'!$G11-Y$5)*'Platform Cost Inputs'!$I11/'Platform Cost Inputs'!$G11,0))/Million</f>
        <v>0</v>
      </c>
      <c r="Z72" s="7">
        <f>(IF(AND(Z$5&gt;='Platform Cost Inputs'!$F11,Z$5&lt;'Platform Cost Inputs'!$H11),(1/'Platform Cost Inputs'!$G11)*'Platform Cost Inputs'!$I11,0)-IF(AND(Z$5&lt;'Platform Cost Inputs'!$H11,AA$5&gt;'Platform Cost Inputs'!$H11),('Platform Cost Inputs'!$F11+'Platform Cost Inputs'!$G11-Z$5)*'Platform Cost Inputs'!$I11/'Platform Cost Inputs'!$G11,0))/Million</f>
        <v>0</v>
      </c>
      <c r="AA72" s="7"/>
      <c r="AB72" s="7"/>
      <c r="AC72" s="7"/>
      <c r="AD72" s="7"/>
      <c r="AE72" s="7"/>
      <c r="AF72" s="7"/>
      <c r="AG72" s="7"/>
    </row>
    <row r="73" spans="1:33" ht="15.75" x14ac:dyDescent="0.25">
      <c r="A73" t="s">
        <v>102</v>
      </c>
      <c r="B73" t="s">
        <v>7</v>
      </c>
      <c r="C73" s="3" t="s">
        <v>9</v>
      </c>
      <c r="D73" s="24">
        <f t="shared" si="80"/>
        <v>2.0418351743520851</v>
      </c>
      <c r="E73" s="59">
        <f t="shared" si="78"/>
        <v>2.0697199999999998</v>
      </c>
      <c r="F73" s="59"/>
      <c r="G73" s="7">
        <f>(IF(AND(G$5&gt;='Platform Cost Inputs'!$F12,G$5&lt;'Platform Cost Inputs'!$H12),(1/'Platform Cost Inputs'!$G12)*'Platform Cost Inputs'!$I12,0)-IF(AND(G$5&lt;'Platform Cost Inputs'!$H12,H$5&gt;'Platform Cost Inputs'!$H12),('Platform Cost Inputs'!$F12+'Platform Cost Inputs'!$G12-G$5)*'Platform Cost Inputs'!$I12/'Platform Cost Inputs'!$G12,0))/Million</f>
        <v>2.0697199999999998</v>
      </c>
      <c r="H73" s="7">
        <f>(IF(AND(H$5&gt;='Platform Cost Inputs'!$F12,H$5&lt;'Platform Cost Inputs'!$H12),(1/'Platform Cost Inputs'!$G12)*'Platform Cost Inputs'!$I12,0)-IF(AND(H$5&lt;'Platform Cost Inputs'!$H12,I$5&gt;'Platform Cost Inputs'!$H12),('Platform Cost Inputs'!$F12+'Platform Cost Inputs'!$G12-H$5)*'Platform Cost Inputs'!$I12/'Platform Cost Inputs'!$G12,0))/Million</f>
        <v>0</v>
      </c>
      <c r="I73" s="7">
        <f>(IF(AND(I$5&gt;='Platform Cost Inputs'!$F12,I$5&lt;'Platform Cost Inputs'!$H12),(1/'Platform Cost Inputs'!$G12)*'Platform Cost Inputs'!$I12,0)-IF(AND(I$5&lt;'Platform Cost Inputs'!$H12,J$5&gt;'Platform Cost Inputs'!$H12),('Platform Cost Inputs'!$F12+'Platform Cost Inputs'!$G12-I$5)*'Platform Cost Inputs'!$I12/'Platform Cost Inputs'!$G12,0))/Million</f>
        <v>0</v>
      </c>
      <c r="J73" s="7">
        <f>(IF(AND(J$5&gt;='Platform Cost Inputs'!$F12,J$5&lt;'Platform Cost Inputs'!$H12),(1/'Platform Cost Inputs'!$G12)*'Platform Cost Inputs'!$I12,0)-IF(AND(J$5&lt;'Platform Cost Inputs'!$H12,K$5&gt;'Platform Cost Inputs'!$H12),('Platform Cost Inputs'!$F12+'Platform Cost Inputs'!$G12-J$5)*'Platform Cost Inputs'!$I12/'Platform Cost Inputs'!$G12,0))/Million</f>
        <v>0</v>
      </c>
      <c r="K73" s="7">
        <f>(IF(AND(K$5&gt;='Platform Cost Inputs'!$F12,K$5&lt;'Platform Cost Inputs'!$H12),(1/'Platform Cost Inputs'!$G12)*'Platform Cost Inputs'!$I12,0)-IF(AND(K$5&lt;'Platform Cost Inputs'!$H12,L$5&gt;'Platform Cost Inputs'!$H12),('Platform Cost Inputs'!$F12+'Platform Cost Inputs'!$G12-K$5)*'Platform Cost Inputs'!$I12/'Platform Cost Inputs'!$G12,0))/Million</f>
        <v>0</v>
      </c>
      <c r="L73" s="7">
        <f>(IF(AND(L$5&gt;='Platform Cost Inputs'!$F12,L$5&lt;'Platform Cost Inputs'!$H12),(1/'Platform Cost Inputs'!$G12)*'Platform Cost Inputs'!$I12,0)-IF(AND(L$5&lt;'Platform Cost Inputs'!$H12,M$5&gt;'Platform Cost Inputs'!$H12),('Platform Cost Inputs'!$F12+'Platform Cost Inputs'!$G12-L$5)*'Platform Cost Inputs'!$I12/'Platform Cost Inputs'!$G12,0))/Million</f>
        <v>0</v>
      </c>
      <c r="M73" s="7">
        <f>(IF(AND(M$5&gt;='Platform Cost Inputs'!$F12,M$5&lt;'Platform Cost Inputs'!$H12),(1/'Platform Cost Inputs'!$G12)*'Platform Cost Inputs'!$I12,0)-IF(AND(M$5&lt;'Platform Cost Inputs'!$H12,N$5&gt;'Platform Cost Inputs'!$H12),('Platform Cost Inputs'!$F12+'Platform Cost Inputs'!$G12-M$5)*'Platform Cost Inputs'!$I12/'Platform Cost Inputs'!$G12,0))/Million</f>
        <v>0</v>
      </c>
      <c r="N73" s="7">
        <f>(IF(AND(N$5&gt;='Platform Cost Inputs'!$F12,N$5&lt;'Platform Cost Inputs'!$H12),(1/'Platform Cost Inputs'!$G12)*'Platform Cost Inputs'!$I12,0)-IF(AND(N$5&lt;'Platform Cost Inputs'!$H12,O$5&gt;'Platform Cost Inputs'!$H12),('Platform Cost Inputs'!$F12+'Platform Cost Inputs'!$G12-N$5)*'Platform Cost Inputs'!$I12/'Platform Cost Inputs'!$G12,0))/Million</f>
        <v>0</v>
      </c>
      <c r="O73" s="7">
        <f>(IF(AND(O$5&gt;='Platform Cost Inputs'!$F12,O$5&lt;'Platform Cost Inputs'!$H12),(1/'Platform Cost Inputs'!$G12)*'Platform Cost Inputs'!$I12,0)-IF(AND(O$5&lt;'Platform Cost Inputs'!$H12,P$5&gt;'Platform Cost Inputs'!$H12),('Platform Cost Inputs'!$F12+'Platform Cost Inputs'!$G12-O$5)*'Platform Cost Inputs'!$I12/'Platform Cost Inputs'!$G12,0))/Million</f>
        <v>0</v>
      </c>
      <c r="P73" s="7">
        <f>(IF(AND(P$5&gt;='Platform Cost Inputs'!$F12,P$5&lt;'Platform Cost Inputs'!$H12),(1/'Platform Cost Inputs'!$G12)*'Platform Cost Inputs'!$I12,0)-IF(AND(P$5&lt;'Platform Cost Inputs'!$H12,Q$5&gt;'Platform Cost Inputs'!$H12),('Platform Cost Inputs'!$F12+'Platform Cost Inputs'!$G12-P$5)*'Platform Cost Inputs'!$I12/'Platform Cost Inputs'!$G12,0))/Million</f>
        <v>0</v>
      </c>
      <c r="Q73" s="7">
        <f>(IF(AND(Q$5&gt;='Platform Cost Inputs'!$F12,Q$5&lt;'Platform Cost Inputs'!$H12),(1/'Platform Cost Inputs'!$G12)*'Platform Cost Inputs'!$I12,0)-IF(AND(Q$5&lt;'Platform Cost Inputs'!$H12,R$5&gt;'Platform Cost Inputs'!$H12),('Platform Cost Inputs'!$F12+'Platform Cost Inputs'!$G12-Q$5)*'Platform Cost Inputs'!$I12/'Platform Cost Inputs'!$G12,0))/Million</f>
        <v>0</v>
      </c>
      <c r="R73" s="7">
        <f>(IF(AND(R$5&gt;='Platform Cost Inputs'!$F12,R$5&lt;'Platform Cost Inputs'!$H12),(1/'Platform Cost Inputs'!$G12)*'Platform Cost Inputs'!$I12,0)-IF(AND(R$5&lt;'Platform Cost Inputs'!$H12,S$5&gt;'Platform Cost Inputs'!$H12),('Platform Cost Inputs'!$F12+'Platform Cost Inputs'!$G12-R$5)*'Platform Cost Inputs'!$I12/'Platform Cost Inputs'!$G12,0))/Million</f>
        <v>0</v>
      </c>
      <c r="S73" s="7">
        <f>(IF(AND(S$5&gt;='Platform Cost Inputs'!$F12,S$5&lt;'Platform Cost Inputs'!$H12),(1/'Platform Cost Inputs'!$G12)*'Platform Cost Inputs'!$I12,0)-IF(AND(S$5&lt;'Platform Cost Inputs'!$H12,T$5&gt;'Platform Cost Inputs'!$H12),('Platform Cost Inputs'!$F12+'Platform Cost Inputs'!$G12-S$5)*'Platform Cost Inputs'!$I12/'Platform Cost Inputs'!$G12,0))/Million</f>
        <v>0</v>
      </c>
      <c r="T73" s="7">
        <f>(IF(AND(T$5&gt;='Platform Cost Inputs'!$F12,T$5&lt;'Platform Cost Inputs'!$H12),(1/'Platform Cost Inputs'!$G12)*'Platform Cost Inputs'!$I12,0)-IF(AND(T$5&lt;'Platform Cost Inputs'!$H12,U$5&gt;'Platform Cost Inputs'!$H12),('Platform Cost Inputs'!$F12+'Platform Cost Inputs'!$G12-T$5)*'Platform Cost Inputs'!$I12/'Platform Cost Inputs'!$G12,0))/Million</f>
        <v>0</v>
      </c>
      <c r="U73" s="7">
        <f>(IF(AND(U$5&gt;='Platform Cost Inputs'!$F12,U$5&lt;'Platform Cost Inputs'!$H12),(1/'Platform Cost Inputs'!$G12)*'Platform Cost Inputs'!$I12,0)-IF(AND(U$5&lt;'Platform Cost Inputs'!$H12,V$5&gt;'Platform Cost Inputs'!$H12),('Platform Cost Inputs'!$F12+'Platform Cost Inputs'!$G12-U$5)*'Platform Cost Inputs'!$I12/'Platform Cost Inputs'!$G12,0))/Million</f>
        <v>0</v>
      </c>
      <c r="V73" s="7">
        <f>(IF(AND(V$5&gt;='Platform Cost Inputs'!$F12,V$5&lt;'Platform Cost Inputs'!$H12),(1/'Platform Cost Inputs'!$G12)*'Platform Cost Inputs'!$I12,0)-IF(AND(V$5&lt;'Platform Cost Inputs'!$H12,W$5&gt;'Platform Cost Inputs'!$H12),('Platform Cost Inputs'!$F12+'Platform Cost Inputs'!$G12-V$5)*'Platform Cost Inputs'!$I12/'Platform Cost Inputs'!$G12,0))/Million</f>
        <v>0</v>
      </c>
      <c r="W73" s="7">
        <f>(IF(AND(W$5&gt;='Platform Cost Inputs'!$F12,W$5&lt;'Platform Cost Inputs'!$H12),(1/'Platform Cost Inputs'!$G12)*'Platform Cost Inputs'!$I12,0)-IF(AND(W$5&lt;'Platform Cost Inputs'!$H12,X$5&gt;'Platform Cost Inputs'!$H12),('Platform Cost Inputs'!$F12+'Platform Cost Inputs'!$G12-W$5)*'Platform Cost Inputs'!$I12/'Platform Cost Inputs'!$G12,0))/Million</f>
        <v>0</v>
      </c>
      <c r="X73" s="7">
        <f>(IF(AND(X$5&gt;='Platform Cost Inputs'!$F12,X$5&lt;'Platform Cost Inputs'!$H12),(1/'Platform Cost Inputs'!$G12)*'Platform Cost Inputs'!$I12,0)-IF(AND(X$5&lt;'Platform Cost Inputs'!$H12,Y$5&gt;'Platform Cost Inputs'!$H12),('Platform Cost Inputs'!$F12+'Platform Cost Inputs'!$G12-X$5)*'Platform Cost Inputs'!$I12/'Platform Cost Inputs'!$G12,0))/Million</f>
        <v>0</v>
      </c>
      <c r="Y73" s="7">
        <f>(IF(AND(Y$5&gt;='Platform Cost Inputs'!$F12,Y$5&lt;'Platform Cost Inputs'!$H12),(1/'Platform Cost Inputs'!$G12)*'Platform Cost Inputs'!$I12,0)-IF(AND(Y$5&lt;'Platform Cost Inputs'!$H12,Z$5&gt;'Platform Cost Inputs'!$H12),('Platform Cost Inputs'!$F12+'Platform Cost Inputs'!$G12-Y$5)*'Platform Cost Inputs'!$I12/'Platform Cost Inputs'!$G12,0))/Million</f>
        <v>0</v>
      </c>
      <c r="Z73" s="7">
        <f>(IF(AND(Z$5&gt;='Platform Cost Inputs'!$F12,Z$5&lt;'Platform Cost Inputs'!$H12),(1/'Platform Cost Inputs'!$G12)*'Platform Cost Inputs'!$I12,0)-IF(AND(Z$5&lt;'Platform Cost Inputs'!$H12,AA$5&gt;'Platform Cost Inputs'!$H12),('Platform Cost Inputs'!$F12+'Platform Cost Inputs'!$G12-Z$5)*'Platform Cost Inputs'!$I12/'Platform Cost Inputs'!$G12,0))/Million</f>
        <v>0</v>
      </c>
      <c r="AA73" s="7"/>
      <c r="AB73" s="7"/>
      <c r="AC73" s="7"/>
      <c r="AD73" s="7"/>
      <c r="AE73" s="7"/>
      <c r="AF73" s="7"/>
      <c r="AG73" s="7"/>
    </row>
    <row r="74" spans="1:33" ht="15.75" x14ac:dyDescent="0.25">
      <c r="A74" t="s">
        <v>96</v>
      </c>
      <c r="B74" t="s">
        <v>7</v>
      </c>
      <c r="C74" s="3" t="s">
        <v>9</v>
      </c>
      <c r="D74" s="24">
        <f t="shared" si="79"/>
        <v>1.0387195793681165</v>
      </c>
      <c r="E74" s="59">
        <f t="shared" si="78"/>
        <v>1.08186</v>
      </c>
      <c r="F74" s="59"/>
      <c r="G74" s="7">
        <f>(IF(AND(G$5&gt;='Platform Cost Inputs'!$F13,G$5&lt;'Platform Cost Inputs'!$H13),(1/'Platform Cost Inputs'!$G13)*'Platform Cost Inputs'!$I13,0)-IF(AND(G$5&lt;'Platform Cost Inputs'!$H13,H$5&gt;'Platform Cost Inputs'!$H13),('Platform Cost Inputs'!$F13+'Platform Cost Inputs'!$G13-G$5)*'Platform Cost Inputs'!$I13/'Platform Cost Inputs'!$G13,0))/Million</f>
        <v>0</v>
      </c>
      <c r="H74" s="7">
        <f>(IF(AND(H$5&gt;='Platform Cost Inputs'!$F13,H$5&lt;'Platform Cost Inputs'!$H13),(1/'Platform Cost Inputs'!$G13)*'Platform Cost Inputs'!$I13,0)-IF(AND(H$5&lt;'Platform Cost Inputs'!$H13,I$5&gt;'Platform Cost Inputs'!$H13),('Platform Cost Inputs'!$F13+'Platform Cost Inputs'!$G13-H$5)*'Platform Cost Inputs'!$I13/'Platform Cost Inputs'!$G13,0))/Million</f>
        <v>1.08186</v>
      </c>
      <c r="I74" s="7">
        <f>(IF(AND(I$5&gt;='Platform Cost Inputs'!$F13,I$5&lt;'Platform Cost Inputs'!$H13),(1/'Platform Cost Inputs'!$G13)*'Platform Cost Inputs'!$I13,0)-IF(AND(I$5&lt;'Platform Cost Inputs'!$H13,J$5&gt;'Platform Cost Inputs'!$H13),('Platform Cost Inputs'!$F13+'Platform Cost Inputs'!$G13-I$5)*'Platform Cost Inputs'!$I13/'Platform Cost Inputs'!$G13,0))/Million</f>
        <v>0</v>
      </c>
      <c r="J74" s="7">
        <f>(IF(AND(J$5&gt;='Platform Cost Inputs'!$F13,J$5&lt;'Platform Cost Inputs'!$H13),(1/'Platform Cost Inputs'!$G13)*'Platform Cost Inputs'!$I13,0)-IF(AND(J$5&lt;'Platform Cost Inputs'!$H13,K$5&gt;'Platform Cost Inputs'!$H13),('Platform Cost Inputs'!$F13+'Platform Cost Inputs'!$G13-J$5)*'Platform Cost Inputs'!$I13/'Platform Cost Inputs'!$G13,0))/Million</f>
        <v>0</v>
      </c>
      <c r="K74" s="7">
        <f>(IF(AND(K$5&gt;='Platform Cost Inputs'!$F13,K$5&lt;'Platform Cost Inputs'!$H13),(1/'Platform Cost Inputs'!$G13)*'Platform Cost Inputs'!$I13,0)-IF(AND(K$5&lt;'Platform Cost Inputs'!$H13,L$5&gt;'Platform Cost Inputs'!$H13),('Platform Cost Inputs'!$F13+'Platform Cost Inputs'!$G13-K$5)*'Platform Cost Inputs'!$I13/'Platform Cost Inputs'!$G13,0))/Million</f>
        <v>0</v>
      </c>
      <c r="L74" s="7">
        <f>(IF(AND(L$5&gt;='Platform Cost Inputs'!$F13,L$5&lt;'Platform Cost Inputs'!$H13),(1/'Platform Cost Inputs'!$G13)*'Platform Cost Inputs'!$I13,0)-IF(AND(L$5&lt;'Platform Cost Inputs'!$H13,M$5&gt;'Platform Cost Inputs'!$H13),('Platform Cost Inputs'!$F13+'Platform Cost Inputs'!$G13-L$5)*'Platform Cost Inputs'!$I13/'Platform Cost Inputs'!$G13,0))/Million</f>
        <v>0</v>
      </c>
      <c r="M74" s="7">
        <f>(IF(AND(M$5&gt;='Platform Cost Inputs'!$F13,M$5&lt;'Platform Cost Inputs'!$H13),(1/'Platform Cost Inputs'!$G13)*'Platform Cost Inputs'!$I13,0)-IF(AND(M$5&lt;'Platform Cost Inputs'!$H13,N$5&gt;'Platform Cost Inputs'!$H13),('Platform Cost Inputs'!$F13+'Platform Cost Inputs'!$G13-M$5)*'Platform Cost Inputs'!$I13/'Platform Cost Inputs'!$G13,0))/Million</f>
        <v>0</v>
      </c>
      <c r="N74" s="7">
        <f>(IF(AND(N$5&gt;='Platform Cost Inputs'!$F13,N$5&lt;'Platform Cost Inputs'!$H13),(1/'Platform Cost Inputs'!$G13)*'Platform Cost Inputs'!$I13,0)-IF(AND(N$5&lt;'Platform Cost Inputs'!$H13,O$5&gt;'Platform Cost Inputs'!$H13),('Platform Cost Inputs'!$F13+'Platform Cost Inputs'!$G13-N$5)*'Platform Cost Inputs'!$I13/'Platform Cost Inputs'!$G13,0))/Million</f>
        <v>0</v>
      </c>
      <c r="O74" s="7">
        <f>(IF(AND(O$5&gt;='Platform Cost Inputs'!$F13,O$5&lt;'Platform Cost Inputs'!$H13),(1/'Platform Cost Inputs'!$G13)*'Platform Cost Inputs'!$I13,0)-IF(AND(O$5&lt;'Platform Cost Inputs'!$H13,P$5&gt;'Platform Cost Inputs'!$H13),('Platform Cost Inputs'!$F13+'Platform Cost Inputs'!$G13-O$5)*'Platform Cost Inputs'!$I13/'Platform Cost Inputs'!$G13,0))/Million</f>
        <v>0</v>
      </c>
      <c r="P74" s="7">
        <f>(IF(AND(P$5&gt;='Platform Cost Inputs'!$F13,P$5&lt;'Platform Cost Inputs'!$H13),(1/'Platform Cost Inputs'!$G13)*'Platform Cost Inputs'!$I13,0)-IF(AND(P$5&lt;'Platform Cost Inputs'!$H13,Q$5&gt;'Platform Cost Inputs'!$H13),('Platform Cost Inputs'!$F13+'Platform Cost Inputs'!$G13-P$5)*'Platform Cost Inputs'!$I13/'Platform Cost Inputs'!$G13,0))/Million</f>
        <v>0</v>
      </c>
      <c r="Q74" s="7">
        <f>(IF(AND(Q$5&gt;='Platform Cost Inputs'!$F13,Q$5&lt;'Platform Cost Inputs'!$H13),(1/'Platform Cost Inputs'!$G13)*'Platform Cost Inputs'!$I13,0)-IF(AND(Q$5&lt;'Platform Cost Inputs'!$H13,R$5&gt;'Platform Cost Inputs'!$H13),('Platform Cost Inputs'!$F13+'Platform Cost Inputs'!$G13-Q$5)*'Platform Cost Inputs'!$I13/'Platform Cost Inputs'!$G13,0))/Million</f>
        <v>0</v>
      </c>
      <c r="R74" s="7">
        <f>(IF(AND(R$5&gt;='Platform Cost Inputs'!$F13,R$5&lt;'Platform Cost Inputs'!$H13),(1/'Platform Cost Inputs'!$G13)*'Platform Cost Inputs'!$I13,0)-IF(AND(R$5&lt;'Platform Cost Inputs'!$H13,S$5&gt;'Platform Cost Inputs'!$H13),('Platform Cost Inputs'!$F13+'Platform Cost Inputs'!$G13-R$5)*'Platform Cost Inputs'!$I13/'Platform Cost Inputs'!$G13,0))/Million</f>
        <v>0</v>
      </c>
      <c r="S74" s="7">
        <f>(IF(AND(S$5&gt;='Platform Cost Inputs'!$F13,S$5&lt;'Platform Cost Inputs'!$H13),(1/'Platform Cost Inputs'!$G13)*'Platform Cost Inputs'!$I13,0)-IF(AND(S$5&lt;'Platform Cost Inputs'!$H13,T$5&gt;'Platform Cost Inputs'!$H13),('Platform Cost Inputs'!$F13+'Platform Cost Inputs'!$G13-S$5)*'Platform Cost Inputs'!$I13/'Platform Cost Inputs'!$G13,0))/Million</f>
        <v>0</v>
      </c>
      <c r="T74" s="7">
        <f>(IF(AND(T$5&gt;='Platform Cost Inputs'!$F13,T$5&lt;'Platform Cost Inputs'!$H13),(1/'Platform Cost Inputs'!$G13)*'Platform Cost Inputs'!$I13,0)-IF(AND(T$5&lt;'Platform Cost Inputs'!$H13,U$5&gt;'Platform Cost Inputs'!$H13),('Platform Cost Inputs'!$F13+'Platform Cost Inputs'!$G13-T$5)*'Platform Cost Inputs'!$I13/'Platform Cost Inputs'!$G13,0))/Million</f>
        <v>0</v>
      </c>
      <c r="U74" s="7">
        <f>(IF(AND(U$5&gt;='Platform Cost Inputs'!$F13,U$5&lt;'Platform Cost Inputs'!$H13),(1/'Platform Cost Inputs'!$G13)*'Platform Cost Inputs'!$I13,0)-IF(AND(U$5&lt;'Platform Cost Inputs'!$H13,V$5&gt;'Platform Cost Inputs'!$H13),('Platform Cost Inputs'!$F13+'Platform Cost Inputs'!$G13-U$5)*'Platform Cost Inputs'!$I13/'Platform Cost Inputs'!$G13,0))/Million</f>
        <v>0</v>
      </c>
      <c r="V74" s="7">
        <f>(IF(AND(V$5&gt;='Platform Cost Inputs'!$F13,V$5&lt;'Platform Cost Inputs'!$H13),(1/'Platform Cost Inputs'!$G13)*'Platform Cost Inputs'!$I13,0)-IF(AND(V$5&lt;'Platform Cost Inputs'!$H13,W$5&gt;'Platform Cost Inputs'!$H13),('Platform Cost Inputs'!$F13+'Platform Cost Inputs'!$G13-V$5)*'Platform Cost Inputs'!$I13/'Platform Cost Inputs'!$G13,0))/Million</f>
        <v>0</v>
      </c>
      <c r="W74" s="7">
        <f>(IF(AND(W$5&gt;='Platform Cost Inputs'!$F13,W$5&lt;'Platform Cost Inputs'!$H13),(1/'Platform Cost Inputs'!$G13)*'Platform Cost Inputs'!$I13,0)-IF(AND(W$5&lt;'Platform Cost Inputs'!$H13,X$5&gt;'Platform Cost Inputs'!$H13),('Platform Cost Inputs'!$F13+'Platform Cost Inputs'!$G13-W$5)*'Platform Cost Inputs'!$I13/'Platform Cost Inputs'!$G13,0))/Million</f>
        <v>0</v>
      </c>
      <c r="X74" s="7">
        <f>(IF(AND(X$5&gt;='Platform Cost Inputs'!$F13,X$5&lt;'Platform Cost Inputs'!$H13),(1/'Platform Cost Inputs'!$G13)*'Platform Cost Inputs'!$I13,0)-IF(AND(X$5&lt;'Platform Cost Inputs'!$H13,Y$5&gt;'Platform Cost Inputs'!$H13),('Platform Cost Inputs'!$F13+'Platform Cost Inputs'!$G13-X$5)*'Platform Cost Inputs'!$I13/'Platform Cost Inputs'!$G13,0))/Million</f>
        <v>0</v>
      </c>
      <c r="Y74" s="7">
        <f>(IF(AND(Y$5&gt;='Platform Cost Inputs'!$F13,Y$5&lt;'Platform Cost Inputs'!$H13),(1/'Platform Cost Inputs'!$G13)*'Platform Cost Inputs'!$I13,0)-IF(AND(Y$5&lt;'Platform Cost Inputs'!$H13,Z$5&gt;'Platform Cost Inputs'!$H13),('Platform Cost Inputs'!$F13+'Platform Cost Inputs'!$G13-Y$5)*'Platform Cost Inputs'!$I13/'Platform Cost Inputs'!$G13,0))/Million</f>
        <v>0</v>
      </c>
      <c r="Z74" s="7">
        <f>(IF(AND(Z$5&gt;='Platform Cost Inputs'!$F13,Z$5&lt;'Platform Cost Inputs'!$H13),(1/'Platform Cost Inputs'!$G13)*'Platform Cost Inputs'!$I13,0)-IF(AND(Z$5&lt;'Platform Cost Inputs'!$H13,AA$5&gt;'Platform Cost Inputs'!$H13),('Platform Cost Inputs'!$F13+'Platform Cost Inputs'!$G13-Z$5)*'Platform Cost Inputs'!$I13/'Platform Cost Inputs'!$G13,0))/Million</f>
        <v>0</v>
      </c>
      <c r="AA74" s="7"/>
      <c r="AB74" s="7"/>
      <c r="AC74" s="7"/>
      <c r="AD74" s="7"/>
      <c r="AE74" s="7"/>
      <c r="AF74" s="7"/>
      <c r="AG74" s="7"/>
    </row>
    <row r="75" spans="1:33" ht="15.75" x14ac:dyDescent="0.25">
      <c r="A75" t="s">
        <v>319</v>
      </c>
      <c r="B75" t="s">
        <v>7</v>
      </c>
      <c r="C75" s="3" t="s">
        <v>9</v>
      </c>
      <c r="D75" s="24">
        <f t="shared" ref="D75:D80" si="81">SUMPRODUCT(G75:Z75,G$7:Z$7)</f>
        <v>3.0968731529508622</v>
      </c>
      <c r="E75" s="59">
        <f t="shared" si="78"/>
        <v>3.1674240000000005</v>
      </c>
      <c r="F75" s="59"/>
      <c r="G75" s="7">
        <f>(IF(AND(G$5&gt;='Platform Cost Inputs'!$F14,G$5&lt;'Platform Cost Inputs'!$H14),(1/'Platform Cost Inputs'!$G14)*'Platform Cost Inputs'!$I14,0)-IF(AND(G$5&lt;'Platform Cost Inputs'!$H14,H$5&gt;'Platform Cost Inputs'!$H14),('Platform Cost Inputs'!$F14+'Platform Cost Inputs'!$G14-G$5)*'Platform Cost Inputs'!$I14/'Platform Cost Inputs'!$G14,0))/Million</f>
        <v>2.1116160000000002</v>
      </c>
      <c r="H75" s="7">
        <f>(IF(AND(H$5&gt;='Platform Cost Inputs'!$F14,H$5&lt;'Platform Cost Inputs'!$H14),(1/'Platform Cost Inputs'!$G14)*'Platform Cost Inputs'!$I14,0)-IF(AND(H$5&lt;'Platform Cost Inputs'!$H14,I$5&gt;'Platform Cost Inputs'!$H14),('Platform Cost Inputs'!$F14+'Platform Cost Inputs'!$G14-H$5)*'Platform Cost Inputs'!$I14/'Platform Cost Inputs'!$G14,0))/Million</f>
        <v>1.0558080000000001</v>
      </c>
      <c r="I75" s="7">
        <f>(IF(AND(I$5&gt;='Platform Cost Inputs'!$F14,I$5&lt;'Platform Cost Inputs'!$H14),(1/'Platform Cost Inputs'!$G14)*'Platform Cost Inputs'!$I14,0)-IF(AND(I$5&lt;'Platform Cost Inputs'!$H14,J$5&gt;'Platform Cost Inputs'!$H14),('Platform Cost Inputs'!$F14+'Platform Cost Inputs'!$G14-I$5)*'Platform Cost Inputs'!$I14/'Platform Cost Inputs'!$G14,0))/Million</f>
        <v>0</v>
      </c>
      <c r="J75" s="7">
        <f>(IF(AND(J$5&gt;='Platform Cost Inputs'!$F14,J$5&lt;'Platform Cost Inputs'!$H14),(1/'Platform Cost Inputs'!$G14)*'Platform Cost Inputs'!$I14,0)-IF(AND(J$5&lt;'Platform Cost Inputs'!$H14,K$5&gt;'Platform Cost Inputs'!$H14),('Platform Cost Inputs'!$F14+'Platform Cost Inputs'!$G14-J$5)*'Platform Cost Inputs'!$I14/'Platform Cost Inputs'!$G14,0))/Million</f>
        <v>0</v>
      </c>
      <c r="K75" s="7">
        <f>(IF(AND(K$5&gt;='Platform Cost Inputs'!$F14,K$5&lt;'Platform Cost Inputs'!$H14),(1/'Platform Cost Inputs'!$G14)*'Platform Cost Inputs'!$I14,0)-IF(AND(K$5&lt;'Platform Cost Inputs'!$H14,L$5&gt;'Platform Cost Inputs'!$H14),('Platform Cost Inputs'!$F14+'Platform Cost Inputs'!$G14-K$5)*'Platform Cost Inputs'!$I14/'Platform Cost Inputs'!$G14,0))/Million</f>
        <v>0</v>
      </c>
      <c r="L75" s="7">
        <f>(IF(AND(L$5&gt;='Platform Cost Inputs'!$F14,L$5&lt;'Platform Cost Inputs'!$H14),(1/'Platform Cost Inputs'!$G14)*'Platform Cost Inputs'!$I14,0)-IF(AND(L$5&lt;'Platform Cost Inputs'!$H14,M$5&gt;'Platform Cost Inputs'!$H14),('Platform Cost Inputs'!$F14+'Platform Cost Inputs'!$G14-L$5)*'Platform Cost Inputs'!$I14/'Platform Cost Inputs'!$G14,0))/Million</f>
        <v>0</v>
      </c>
      <c r="M75" s="7">
        <f>(IF(AND(M$5&gt;='Platform Cost Inputs'!$F14,M$5&lt;'Platform Cost Inputs'!$H14),(1/'Platform Cost Inputs'!$G14)*'Platform Cost Inputs'!$I14,0)-IF(AND(M$5&lt;'Platform Cost Inputs'!$H14,N$5&gt;'Platform Cost Inputs'!$H14),('Platform Cost Inputs'!$F14+'Platform Cost Inputs'!$G14-M$5)*'Platform Cost Inputs'!$I14/'Platform Cost Inputs'!$G14,0))/Million</f>
        <v>0</v>
      </c>
      <c r="N75" s="7">
        <f>(IF(AND(N$5&gt;='Platform Cost Inputs'!$F14,N$5&lt;'Platform Cost Inputs'!$H14),(1/'Platform Cost Inputs'!$G14)*'Platform Cost Inputs'!$I14,0)-IF(AND(N$5&lt;'Platform Cost Inputs'!$H14,O$5&gt;'Platform Cost Inputs'!$H14),('Platform Cost Inputs'!$F14+'Platform Cost Inputs'!$G14-N$5)*'Platform Cost Inputs'!$I14/'Platform Cost Inputs'!$G14,0))/Million</f>
        <v>0</v>
      </c>
      <c r="O75" s="7">
        <f>(IF(AND(O$5&gt;='Platform Cost Inputs'!$F14,O$5&lt;'Platform Cost Inputs'!$H14),(1/'Platform Cost Inputs'!$G14)*'Platform Cost Inputs'!$I14,0)-IF(AND(O$5&lt;'Platform Cost Inputs'!$H14,P$5&gt;'Platform Cost Inputs'!$H14),('Platform Cost Inputs'!$F14+'Platform Cost Inputs'!$G14-O$5)*'Platform Cost Inputs'!$I14/'Platform Cost Inputs'!$G14,0))/Million</f>
        <v>0</v>
      </c>
      <c r="P75" s="7">
        <f>(IF(AND(P$5&gt;='Platform Cost Inputs'!$F14,P$5&lt;'Platform Cost Inputs'!$H14),(1/'Platform Cost Inputs'!$G14)*'Platform Cost Inputs'!$I14,0)-IF(AND(P$5&lt;'Platform Cost Inputs'!$H14,Q$5&gt;'Platform Cost Inputs'!$H14),('Platform Cost Inputs'!$F14+'Platform Cost Inputs'!$G14-P$5)*'Platform Cost Inputs'!$I14/'Platform Cost Inputs'!$G14,0))/Million</f>
        <v>0</v>
      </c>
      <c r="Q75" s="7">
        <f>(IF(AND(Q$5&gt;='Platform Cost Inputs'!$F14,Q$5&lt;'Platform Cost Inputs'!$H14),(1/'Platform Cost Inputs'!$G14)*'Platform Cost Inputs'!$I14,0)-IF(AND(Q$5&lt;'Platform Cost Inputs'!$H14,R$5&gt;'Platform Cost Inputs'!$H14),('Platform Cost Inputs'!$F14+'Platform Cost Inputs'!$G14-Q$5)*'Platform Cost Inputs'!$I14/'Platform Cost Inputs'!$G14,0))/Million</f>
        <v>0</v>
      </c>
      <c r="R75" s="7">
        <f>(IF(AND(R$5&gt;='Platform Cost Inputs'!$F14,R$5&lt;'Platform Cost Inputs'!$H14),(1/'Platform Cost Inputs'!$G14)*'Platform Cost Inputs'!$I14,0)-IF(AND(R$5&lt;'Platform Cost Inputs'!$H14,S$5&gt;'Platform Cost Inputs'!$H14),('Platform Cost Inputs'!$F14+'Platform Cost Inputs'!$G14-R$5)*'Platform Cost Inputs'!$I14/'Platform Cost Inputs'!$G14,0))/Million</f>
        <v>0</v>
      </c>
      <c r="S75" s="7">
        <f>(IF(AND(S$5&gt;='Platform Cost Inputs'!$F14,S$5&lt;'Platform Cost Inputs'!$H14),(1/'Platform Cost Inputs'!$G14)*'Platform Cost Inputs'!$I14,0)-IF(AND(S$5&lt;'Platform Cost Inputs'!$H14,T$5&gt;'Platform Cost Inputs'!$H14),('Platform Cost Inputs'!$F14+'Platform Cost Inputs'!$G14-S$5)*'Platform Cost Inputs'!$I14/'Platform Cost Inputs'!$G14,0))/Million</f>
        <v>0</v>
      </c>
      <c r="T75" s="7">
        <f>(IF(AND(T$5&gt;='Platform Cost Inputs'!$F14,T$5&lt;'Platform Cost Inputs'!$H14),(1/'Platform Cost Inputs'!$G14)*'Platform Cost Inputs'!$I14,0)-IF(AND(T$5&lt;'Platform Cost Inputs'!$H14,U$5&gt;'Platform Cost Inputs'!$H14),('Platform Cost Inputs'!$F14+'Platform Cost Inputs'!$G14-T$5)*'Platform Cost Inputs'!$I14/'Platform Cost Inputs'!$G14,0))/Million</f>
        <v>0</v>
      </c>
      <c r="U75" s="7">
        <f>(IF(AND(U$5&gt;='Platform Cost Inputs'!$F14,U$5&lt;'Platform Cost Inputs'!$H14),(1/'Platform Cost Inputs'!$G14)*'Platform Cost Inputs'!$I14,0)-IF(AND(U$5&lt;'Platform Cost Inputs'!$H14,V$5&gt;'Platform Cost Inputs'!$H14),('Platform Cost Inputs'!$F14+'Platform Cost Inputs'!$G14-U$5)*'Platform Cost Inputs'!$I14/'Platform Cost Inputs'!$G14,0))/Million</f>
        <v>0</v>
      </c>
      <c r="V75" s="7">
        <f>(IF(AND(V$5&gt;='Platform Cost Inputs'!$F14,V$5&lt;'Platform Cost Inputs'!$H14),(1/'Platform Cost Inputs'!$G14)*'Platform Cost Inputs'!$I14,0)-IF(AND(V$5&lt;'Platform Cost Inputs'!$H14,W$5&gt;'Platform Cost Inputs'!$H14),('Platform Cost Inputs'!$F14+'Platform Cost Inputs'!$G14-V$5)*'Platform Cost Inputs'!$I14/'Platform Cost Inputs'!$G14,0))/Million</f>
        <v>0</v>
      </c>
      <c r="W75" s="7">
        <f>(IF(AND(W$5&gt;='Platform Cost Inputs'!$F14,W$5&lt;'Platform Cost Inputs'!$H14),(1/'Platform Cost Inputs'!$G14)*'Platform Cost Inputs'!$I14,0)-IF(AND(W$5&lt;'Platform Cost Inputs'!$H14,X$5&gt;'Platform Cost Inputs'!$H14),('Platform Cost Inputs'!$F14+'Platform Cost Inputs'!$G14-W$5)*'Platform Cost Inputs'!$I14/'Platform Cost Inputs'!$G14,0))/Million</f>
        <v>0</v>
      </c>
      <c r="X75" s="7">
        <f>(IF(AND(X$5&gt;='Platform Cost Inputs'!$F14,X$5&lt;'Platform Cost Inputs'!$H14),(1/'Platform Cost Inputs'!$G14)*'Platform Cost Inputs'!$I14,0)-IF(AND(X$5&lt;'Platform Cost Inputs'!$H14,Y$5&gt;'Platform Cost Inputs'!$H14),('Platform Cost Inputs'!$F14+'Platform Cost Inputs'!$G14-X$5)*'Platform Cost Inputs'!$I14/'Platform Cost Inputs'!$G14,0))/Million</f>
        <v>0</v>
      </c>
      <c r="Y75" s="7">
        <f>(IF(AND(Y$5&gt;='Platform Cost Inputs'!$F14,Y$5&lt;'Platform Cost Inputs'!$H14),(1/'Platform Cost Inputs'!$G14)*'Platform Cost Inputs'!$I14,0)-IF(AND(Y$5&lt;'Platform Cost Inputs'!$H14,Z$5&gt;'Platform Cost Inputs'!$H14),('Platform Cost Inputs'!$F14+'Platform Cost Inputs'!$G14-Y$5)*'Platform Cost Inputs'!$I14/'Platform Cost Inputs'!$G14,0))/Million</f>
        <v>0</v>
      </c>
      <c r="Z75" s="7">
        <f>(IF(AND(Z$5&gt;='Platform Cost Inputs'!$F14,Z$5&lt;'Platform Cost Inputs'!$H14),(1/'Platform Cost Inputs'!$G14)*'Platform Cost Inputs'!$I14,0)-IF(AND(Z$5&lt;'Platform Cost Inputs'!$H14,AA$5&gt;'Platform Cost Inputs'!$H14),('Platform Cost Inputs'!$F14+'Platform Cost Inputs'!$G14-Z$5)*'Platform Cost Inputs'!$I14/'Platform Cost Inputs'!$G14,0))/Million</f>
        <v>0</v>
      </c>
      <c r="AA75" s="7"/>
      <c r="AB75" s="7"/>
      <c r="AC75" s="7"/>
      <c r="AD75" s="7"/>
      <c r="AE75" s="7"/>
      <c r="AF75" s="7"/>
      <c r="AG75" s="7"/>
    </row>
    <row r="76" spans="1:33" ht="15.75" x14ac:dyDescent="0.25">
      <c r="A76" t="s">
        <v>97</v>
      </c>
      <c r="B76" t="s">
        <v>7</v>
      </c>
      <c r="C76" s="3" t="s">
        <v>9</v>
      </c>
      <c r="D76" s="24">
        <f t="shared" si="81"/>
        <v>2.083180699309525</v>
      </c>
      <c r="E76" s="59">
        <f t="shared" si="78"/>
        <v>2.1697000000000002</v>
      </c>
      <c r="F76" s="59"/>
      <c r="G76" s="7">
        <f>(IF(AND(G$5&gt;='Platform Cost Inputs'!$F15,G$5&lt;'Platform Cost Inputs'!$H15),(1/'Platform Cost Inputs'!$G15)*'Platform Cost Inputs'!$I15,0)-IF(AND(G$5&lt;'Platform Cost Inputs'!$H15,H$5&gt;'Platform Cost Inputs'!$H15),('Platform Cost Inputs'!$F15+'Platform Cost Inputs'!$G15-G$5)*'Platform Cost Inputs'!$I15/'Platform Cost Inputs'!$G15,0))/Million</f>
        <v>0</v>
      </c>
      <c r="H76" s="7">
        <f>(IF(AND(H$5&gt;='Platform Cost Inputs'!$F15,H$5&lt;'Platform Cost Inputs'!$H15),(1/'Platform Cost Inputs'!$G15)*'Platform Cost Inputs'!$I15,0)-IF(AND(H$5&lt;'Platform Cost Inputs'!$H15,I$5&gt;'Platform Cost Inputs'!$H15),('Platform Cost Inputs'!$F15+'Platform Cost Inputs'!$G15-H$5)*'Platform Cost Inputs'!$I15/'Platform Cost Inputs'!$G15,0))/Million</f>
        <v>2.1697000000000002</v>
      </c>
      <c r="I76" s="7">
        <f>(IF(AND(I$5&gt;='Platform Cost Inputs'!$F15,I$5&lt;'Platform Cost Inputs'!$H15),(1/'Platform Cost Inputs'!$G15)*'Platform Cost Inputs'!$I15,0)-IF(AND(I$5&lt;'Platform Cost Inputs'!$H15,J$5&gt;'Platform Cost Inputs'!$H15),('Platform Cost Inputs'!$F15+'Platform Cost Inputs'!$G15-I$5)*'Platform Cost Inputs'!$I15/'Platform Cost Inputs'!$G15,0))/Million</f>
        <v>0</v>
      </c>
      <c r="J76" s="7">
        <f>(IF(AND(J$5&gt;='Platform Cost Inputs'!$F15,J$5&lt;'Platform Cost Inputs'!$H15),(1/'Platform Cost Inputs'!$G15)*'Platform Cost Inputs'!$I15,0)-IF(AND(J$5&lt;'Platform Cost Inputs'!$H15,K$5&gt;'Platform Cost Inputs'!$H15),('Platform Cost Inputs'!$F15+'Platform Cost Inputs'!$G15-J$5)*'Platform Cost Inputs'!$I15/'Platform Cost Inputs'!$G15,0))/Million</f>
        <v>0</v>
      </c>
      <c r="K76" s="7">
        <f>(IF(AND(K$5&gt;='Platform Cost Inputs'!$F15,K$5&lt;'Platform Cost Inputs'!$H15),(1/'Platform Cost Inputs'!$G15)*'Platform Cost Inputs'!$I15,0)-IF(AND(K$5&lt;'Platform Cost Inputs'!$H15,L$5&gt;'Platform Cost Inputs'!$H15),('Platform Cost Inputs'!$F15+'Platform Cost Inputs'!$G15-K$5)*'Platform Cost Inputs'!$I15/'Platform Cost Inputs'!$G15,0))/Million</f>
        <v>0</v>
      </c>
      <c r="L76" s="7">
        <f>(IF(AND(L$5&gt;='Platform Cost Inputs'!$F15,L$5&lt;'Platform Cost Inputs'!$H15),(1/'Platform Cost Inputs'!$G15)*'Platform Cost Inputs'!$I15,0)-IF(AND(L$5&lt;'Platform Cost Inputs'!$H15,M$5&gt;'Platform Cost Inputs'!$H15),('Platform Cost Inputs'!$F15+'Platform Cost Inputs'!$G15-L$5)*'Platform Cost Inputs'!$I15/'Platform Cost Inputs'!$G15,0))/Million</f>
        <v>0</v>
      </c>
      <c r="M76" s="7">
        <f>(IF(AND(M$5&gt;='Platform Cost Inputs'!$F15,M$5&lt;'Platform Cost Inputs'!$H15),(1/'Platform Cost Inputs'!$G15)*'Platform Cost Inputs'!$I15,0)-IF(AND(M$5&lt;'Platform Cost Inputs'!$H15,N$5&gt;'Platform Cost Inputs'!$H15),('Platform Cost Inputs'!$F15+'Platform Cost Inputs'!$G15-M$5)*'Platform Cost Inputs'!$I15/'Platform Cost Inputs'!$G15,0))/Million</f>
        <v>0</v>
      </c>
      <c r="N76" s="7">
        <f>(IF(AND(N$5&gt;='Platform Cost Inputs'!$F15,N$5&lt;'Platform Cost Inputs'!$H15),(1/'Platform Cost Inputs'!$G15)*'Platform Cost Inputs'!$I15,0)-IF(AND(N$5&lt;'Platform Cost Inputs'!$H15,O$5&gt;'Platform Cost Inputs'!$H15),('Platform Cost Inputs'!$F15+'Platform Cost Inputs'!$G15-N$5)*'Platform Cost Inputs'!$I15/'Platform Cost Inputs'!$G15,0))/Million</f>
        <v>0</v>
      </c>
      <c r="O76" s="7">
        <f>(IF(AND(O$5&gt;='Platform Cost Inputs'!$F15,O$5&lt;'Platform Cost Inputs'!$H15),(1/'Platform Cost Inputs'!$G15)*'Platform Cost Inputs'!$I15,0)-IF(AND(O$5&lt;'Platform Cost Inputs'!$H15,P$5&gt;'Platform Cost Inputs'!$H15),('Platform Cost Inputs'!$F15+'Platform Cost Inputs'!$G15-O$5)*'Platform Cost Inputs'!$I15/'Platform Cost Inputs'!$G15,0))/Million</f>
        <v>0</v>
      </c>
      <c r="P76" s="7">
        <f>(IF(AND(P$5&gt;='Platform Cost Inputs'!$F15,P$5&lt;'Platform Cost Inputs'!$H15),(1/'Platform Cost Inputs'!$G15)*'Platform Cost Inputs'!$I15,0)-IF(AND(P$5&lt;'Platform Cost Inputs'!$H15,Q$5&gt;'Platform Cost Inputs'!$H15),('Platform Cost Inputs'!$F15+'Platform Cost Inputs'!$G15-P$5)*'Platform Cost Inputs'!$I15/'Platform Cost Inputs'!$G15,0))/Million</f>
        <v>0</v>
      </c>
      <c r="Q76" s="7">
        <f>(IF(AND(Q$5&gt;='Platform Cost Inputs'!$F15,Q$5&lt;'Platform Cost Inputs'!$H15),(1/'Platform Cost Inputs'!$G15)*'Platform Cost Inputs'!$I15,0)-IF(AND(Q$5&lt;'Platform Cost Inputs'!$H15,R$5&gt;'Platform Cost Inputs'!$H15),('Platform Cost Inputs'!$F15+'Platform Cost Inputs'!$G15-Q$5)*'Platform Cost Inputs'!$I15/'Platform Cost Inputs'!$G15,0))/Million</f>
        <v>0</v>
      </c>
      <c r="R76" s="7">
        <f>(IF(AND(R$5&gt;='Platform Cost Inputs'!$F15,R$5&lt;'Platform Cost Inputs'!$H15),(1/'Platform Cost Inputs'!$G15)*'Platform Cost Inputs'!$I15,0)-IF(AND(R$5&lt;'Platform Cost Inputs'!$H15,S$5&gt;'Platform Cost Inputs'!$H15),('Platform Cost Inputs'!$F15+'Platform Cost Inputs'!$G15-R$5)*'Platform Cost Inputs'!$I15/'Platform Cost Inputs'!$G15,0))/Million</f>
        <v>0</v>
      </c>
      <c r="S76" s="7">
        <f>(IF(AND(S$5&gt;='Platform Cost Inputs'!$F15,S$5&lt;'Platform Cost Inputs'!$H15),(1/'Platform Cost Inputs'!$G15)*'Platform Cost Inputs'!$I15,0)-IF(AND(S$5&lt;'Platform Cost Inputs'!$H15,T$5&gt;'Platform Cost Inputs'!$H15),('Platform Cost Inputs'!$F15+'Platform Cost Inputs'!$G15-S$5)*'Platform Cost Inputs'!$I15/'Platform Cost Inputs'!$G15,0))/Million</f>
        <v>0</v>
      </c>
      <c r="T76" s="7">
        <f>(IF(AND(T$5&gt;='Platform Cost Inputs'!$F15,T$5&lt;'Platform Cost Inputs'!$H15),(1/'Platform Cost Inputs'!$G15)*'Platform Cost Inputs'!$I15,0)-IF(AND(T$5&lt;'Platform Cost Inputs'!$H15,U$5&gt;'Platform Cost Inputs'!$H15),('Platform Cost Inputs'!$F15+'Platform Cost Inputs'!$G15-T$5)*'Platform Cost Inputs'!$I15/'Platform Cost Inputs'!$G15,0))/Million</f>
        <v>0</v>
      </c>
      <c r="U76" s="7">
        <f>(IF(AND(U$5&gt;='Platform Cost Inputs'!$F15,U$5&lt;'Platform Cost Inputs'!$H15),(1/'Platform Cost Inputs'!$G15)*'Platform Cost Inputs'!$I15,0)-IF(AND(U$5&lt;'Platform Cost Inputs'!$H15,V$5&gt;'Platform Cost Inputs'!$H15),('Platform Cost Inputs'!$F15+'Platform Cost Inputs'!$G15-U$5)*'Platform Cost Inputs'!$I15/'Platform Cost Inputs'!$G15,0))/Million</f>
        <v>0</v>
      </c>
      <c r="V76" s="7">
        <f>(IF(AND(V$5&gt;='Platform Cost Inputs'!$F15,V$5&lt;'Platform Cost Inputs'!$H15),(1/'Platform Cost Inputs'!$G15)*'Platform Cost Inputs'!$I15,0)-IF(AND(V$5&lt;'Platform Cost Inputs'!$H15,W$5&gt;'Platform Cost Inputs'!$H15),('Platform Cost Inputs'!$F15+'Platform Cost Inputs'!$G15-V$5)*'Platform Cost Inputs'!$I15/'Platform Cost Inputs'!$G15,0))/Million</f>
        <v>0</v>
      </c>
      <c r="W76" s="7">
        <f>(IF(AND(W$5&gt;='Platform Cost Inputs'!$F15,W$5&lt;'Platform Cost Inputs'!$H15),(1/'Platform Cost Inputs'!$G15)*'Platform Cost Inputs'!$I15,0)-IF(AND(W$5&lt;'Platform Cost Inputs'!$H15,X$5&gt;'Platform Cost Inputs'!$H15),('Platform Cost Inputs'!$F15+'Platform Cost Inputs'!$G15-W$5)*'Platform Cost Inputs'!$I15/'Platform Cost Inputs'!$G15,0))/Million</f>
        <v>0</v>
      </c>
      <c r="X76" s="7">
        <f>(IF(AND(X$5&gt;='Platform Cost Inputs'!$F15,X$5&lt;'Platform Cost Inputs'!$H15),(1/'Platform Cost Inputs'!$G15)*'Platform Cost Inputs'!$I15,0)-IF(AND(X$5&lt;'Platform Cost Inputs'!$H15,Y$5&gt;'Platform Cost Inputs'!$H15),('Platform Cost Inputs'!$F15+'Platform Cost Inputs'!$G15-X$5)*'Platform Cost Inputs'!$I15/'Platform Cost Inputs'!$G15,0))/Million</f>
        <v>0</v>
      </c>
      <c r="Y76" s="7">
        <f>(IF(AND(Y$5&gt;='Platform Cost Inputs'!$F15,Y$5&lt;'Platform Cost Inputs'!$H15),(1/'Platform Cost Inputs'!$G15)*'Platform Cost Inputs'!$I15,0)-IF(AND(Y$5&lt;'Platform Cost Inputs'!$H15,Z$5&gt;'Platform Cost Inputs'!$H15),('Platform Cost Inputs'!$F15+'Platform Cost Inputs'!$G15-Y$5)*'Platform Cost Inputs'!$I15/'Platform Cost Inputs'!$G15,0))/Million</f>
        <v>0</v>
      </c>
      <c r="Z76" s="7">
        <f>(IF(AND(Z$5&gt;='Platform Cost Inputs'!$F15,Z$5&lt;'Platform Cost Inputs'!$H15),(1/'Platform Cost Inputs'!$G15)*'Platform Cost Inputs'!$I15,0)-IF(AND(Z$5&lt;'Platform Cost Inputs'!$H15,AA$5&gt;'Platform Cost Inputs'!$H15),('Platform Cost Inputs'!$F15+'Platform Cost Inputs'!$G15-Z$5)*'Platform Cost Inputs'!$I15/'Platform Cost Inputs'!$G15,0))/Million</f>
        <v>0</v>
      </c>
      <c r="AA76" s="7"/>
      <c r="AB76" s="7"/>
      <c r="AC76" s="7"/>
      <c r="AD76" s="7"/>
      <c r="AE76" s="7"/>
      <c r="AF76" s="7"/>
      <c r="AG76" s="7"/>
    </row>
    <row r="77" spans="1:33" ht="15.75" x14ac:dyDescent="0.25">
      <c r="A77" t="s">
        <v>68</v>
      </c>
      <c r="B77" t="s">
        <v>7</v>
      </c>
      <c r="C77" s="3" t="s">
        <v>9</v>
      </c>
      <c r="D77" s="24">
        <f t="shared" si="81"/>
        <v>0.90254444399921352</v>
      </c>
      <c r="E77" s="59">
        <f t="shared" si="78"/>
        <v>0.96587999999999996</v>
      </c>
      <c r="F77" s="59"/>
      <c r="G77" s="7">
        <f>(IF(AND(G$5&gt;='Platform Cost Inputs'!$F17,G$5&lt;'Platform Cost Inputs'!$H17),(1/'Platform Cost Inputs'!$G17)*'Platform Cost Inputs'!$I17,0)-IF(AND(G$5&lt;'Platform Cost Inputs'!$H17,H$5&gt;'Platform Cost Inputs'!$H17),('Platform Cost Inputs'!$F17+'Platform Cost Inputs'!$G17-G$5)*'Platform Cost Inputs'!$I17/'Platform Cost Inputs'!$G17,0))/Million</f>
        <v>0</v>
      </c>
      <c r="H77" s="7">
        <f>(IF(AND(H$5&gt;='Platform Cost Inputs'!$F17,H$5&lt;'Platform Cost Inputs'!$H17),(1/'Platform Cost Inputs'!$G17)*'Platform Cost Inputs'!$I17,0)-IF(AND(H$5&lt;'Platform Cost Inputs'!$H17,I$5&gt;'Platform Cost Inputs'!$H17),('Platform Cost Inputs'!$F17+'Platform Cost Inputs'!$G17-H$5)*'Platform Cost Inputs'!$I17/'Platform Cost Inputs'!$G17,0))/Million</f>
        <v>0</v>
      </c>
      <c r="I77" s="7">
        <f>(IF(AND(I$5&gt;='Platform Cost Inputs'!$F17,I$5&lt;'Platform Cost Inputs'!$H17),(1/'Platform Cost Inputs'!$G17)*'Platform Cost Inputs'!$I17,0)-IF(AND(I$5&lt;'Platform Cost Inputs'!$H17,J$5&gt;'Platform Cost Inputs'!$H17),('Platform Cost Inputs'!$F17+'Platform Cost Inputs'!$G17-I$5)*'Platform Cost Inputs'!$I17/'Platform Cost Inputs'!$G17,0))/Million</f>
        <v>0.96587999999999996</v>
      </c>
      <c r="J77" s="7">
        <f>(IF(AND(J$5&gt;='Platform Cost Inputs'!$F17,J$5&lt;'Platform Cost Inputs'!$H17),(1/'Platform Cost Inputs'!$G17)*'Platform Cost Inputs'!$I17,0)-IF(AND(J$5&lt;'Platform Cost Inputs'!$H17,K$5&gt;'Platform Cost Inputs'!$H17),('Platform Cost Inputs'!$F17+'Platform Cost Inputs'!$G17-J$5)*'Platform Cost Inputs'!$I17/'Platform Cost Inputs'!$G17,0))/Million</f>
        <v>0</v>
      </c>
      <c r="K77" s="7">
        <f>(IF(AND(K$5&gt;='Platform Cost Inputs'!$F17,K$5&lt;'Platform Cost Inputs'!$H17),(1/'Platform Cost Inputs'!$G17)*'Platform Cost Inputs'!$I17,0)-IF(AND(K$5&lt;'Platform Cost Inputs'!$H17,L$5&gt;'Platform Cost Inputs'!$H17),('Platform Cost Inputs'!$F17+'Platform Cost Inputs'!$G17-K$5)*'Platform Cost Inputs'!$I17/'Platform Cost Inputs'!$G17,0))/Million</f>
        <v>0</v>
      </c>
      <c r="L77" s="7">
        <f>(IF(AND(L$5&gt;='Platform Cost Inputs'!$F17,L$5&lt;'Platform Cost Inputs'!$H17),(1/'Platform Cost Inputs'!$G17)*'Platform Cost Inputs'!$I17,0)-IF(AND(L$5&lt;'Platform Cost Inputs'!$H17,M$5&gt;'Platform Cost Inputs'!$H17),('Platform Cost Inputs'!$F17+'Platform Cost Inputs'!$G17-L$5)*'Platform Cost Inputs'!$I17/'Platform Cost Inputs'!$G17,0))/Million</f>
        <v>0</v>
      </c>
      <c r="M77" s="7">
        <f>(IF(AND(M$5&gt;='Platform Cost Inputs'!$F17,M$5&lt;'Platform Cost Inputs'!$H17),(1/'Platform Cost Inputs'!$G17)*'Platform Cost Inputs'!$I17,0)-IF(AND(M$5&lt;'Platform Cost Inputs'!$H17,N$5&gt;'Platform Cost Inputs'!$H17),('Platform Cost Inputs'!$F17+'Platform Cost Inputs'!$G17-M$5)*'Platform Cost Inputs'!$I17/'Platform Cost Inputs'!$G17,0))/Million</f>
        <v>0</v>
      </c>
      <c r="N77" s="7">
        <f>(IF(AND(N$5&gt;='Platform Cost Inputs'!$F17,N$5&lt;'Platform Cost Inputs'!$H17),(1/'Platform Cost Inputs'!$G17)*'Platform Cost Inputs'!$I17,0)-IF(AND(N$5&lt;'Platform Cost Inputs'!$H17,O$5&gt;'Platform Cost Inputs'!$H17),('Platform Cost Inputs'!$F17+'Platform Cost Inputs'!$G17-N$5)*'Platform Cost Inputs'!$I17/'Platform Cost Inputs'!$G17,0))/Million</f>
        <v>0</v>
      </c>
      <c r="O77" s="7">
        <f>(IF(AND(O$5&gt;='Platform Cost Inputs'!$F17,O$5&lt;'Platform Cost Inputs'!$H17),(1/'Platform Cost Inputs'!$G17)*'Platform Cost Inputs'!$I17,0)-IF(AND(O$5&lt;'Platform Cost Inputs'!$H17,P$5&gt;'Platform Cost Inputs'!$H17),('Platform Cost Inputs'!$F17+'Platform Cost Inputs'!$G17-O$5)*'Platform Cost Inputs'!$I17/'Platform Cost Inputs'!$G17,0))/Million</f>
        <v>0</v>
      </c>
      <c r="P77" s="7">
        <f>(IF(AND(P$5&gt;='Platform Cost Inputs'!$F17,P$5&lt;'Platform Cost Inputs'!$H17),(1/'Platform Cost Inputs'!$G17)*'Platform Cost Inputs'!$I17,0)-IF(AND(P$5&lt;'Platform Cost Inputs'!$H17,Q$5&gt;'Platform Cost Inputs'!$H17),('Platform Cost Inputs'!$F17+'Platform Cost Inputs'!$G17-P$5)*'Platform Cost Inputs'!$I17/'Platform Cost Inputs'!$G17,0))/Million</f>
        <v>0</v>
      </c>
      <c r="Q77" s="7">
        <f>(IF(AND(Q$5&gt;='Platform Cost Inputs'!$F17,Q$5&lt;'Platform Cost Inputs'!$H17),(1/'Platform Cost Inputs'!$G17)*'Platform Cost Inputs'!$I17,0)-IF(AND(Q$5&lt;'Platform Cost Inputs'!$H17,R$5&gt;'Platform Cost Inputs'!$H17),('Platform Cost Inputs'!$F17+'Platform Cost Inputs'!$G17-Q$5)*'Platform Cost Inputs'!$I17/'Platform Cost Inputs'!$G17,0))/Million</f>
        <v>0</v>
      </c>
      <c r="R77" s="7">
        <f>(IF(AND(R$5&gt;='Platform Cost Inputs'!$F17,R$5&lt;'Platform Cost Inputs'!$H17),(1/'Platform Cost Inputs'!$G17)*'Platform Cost Inputs'!$I17,0)-IF(AND(R$5&lt;'Platform Cost Inputs'!$H17,S$5&gt;'Platform Cost Inputs'!$H17),('Platform Cost Inputs'!$F17+'Platform Cost Inputs'!$G17-R$5)*'Platform Cost Inputs'!$I17/'Platform Cost Inputs'!$G17,0))/Million</f>
        <v>0</v>
      </c>
      <c r="S77" s="7">
        <f>(IF(AND(S$5&gt;='Platform Cost Inputs'!$F17,S$5&lt;'Platform Cost Inputs'!$H17),(1/'Platform Cost Inputs'!$G17)*'Platform Cost Inputs'!$I17,0)-IF(AND(S$5&lt;'Platform Cost Inputs'!$H17,T$5&gt;'Platform Cost Inputs'!$H17),('Platform Cost Inputs'!$F17+'Platform Cost Inputs'!$G17-S$5)*'Platform Cost Inputs'!$I17/'Platform Cost Inputs'!$G17,0))/Million</f>
        <v>0</v>
      </c>
      <c r="T77" s="7">
        <f>(IF(AND(T$5&gt;='Platform Cost Inputs'!$F17,T$5&lt;'Platform Cost Inputs'!$H17),(1/'Platform Cost Inputs'!$G17)*'Platform Cost Inputs'!$I17,0)-IF(AND(T$5&lt;'Platform Cost Inputs'!$H17,U$5&gt;'Platform Cost Inputs'!$H17),('Platform Cost Inputs'!$F17+'Platform Cost Inputs'!$G17-T$5)*'Platform Cost Inputs'!$I17/'Platform Cost Inputs'!$G17,0))/Million</f>
        <v>0</v>
      </c>
      <c r="U77" s="7">
        <f>(IF(AND(U$5&gt;='Platform Cost Inputs'!$F17,U$5&lt;'Platform Cost Inputs'!$H17),(1/'Platform Cost Inputs'!$G17)*'Platform Cost Inputs'!$I17,0)-IF(AND(U$5&lt;'Platform Cost Inputs'!$H17,V$5&gt;'Platform Cost Inputs'!$H17),('Platform Cost Inputs'!$F17+'Platform Cost Inputs'!$G17-U$5)*'Platform Cost Inputs'!$I17/'Platform Cost Inputs'!$G17,0))/Million</f>
        <v>0</v>
      </c>
      <c r="V77" s="7">
        <f>(IF(AND(V$5&gt;='Platform Cost Inputs'!$F17,V$5&lt;'Platform Cost Inputs'!$H17),(1/'Platform Cost Inputs'!$G17)*'Platform Cost Inputs'!$I17,0)-IF(AND(V$5&lt;'Platform Cost Inputs'!$H17,W$5&gt;'Platform Cost Inputs'!$H17),('Platform Cost Inputs'!$F17+'Platform Cost Inputs'!$G17-V$5)*'Platform Cost Inputs'!$I17/'Platform Cost Inputs'!$G17,0))/Million</f>
        <v>0</v>
      </c>
      <c r="W77" s="7">
        <f>(IF(AND(W$5&gt;='Platform Cost Inputs'!$F17,W$5&lt;'Platform Cost Inputs'!$H17),(1/'Platform Cost Inputs'!$G17)*'Platform Cost Inputs'!$I17,0)-IF(AND(W$5&lt;'Platform Cost Inputs'!$H17,X$5&gt;'Platform Cost Inputs'!$H17),('Platform Cost Inputs'!$F17+'Platform Cost Inputs'!$G17-W$5)*'Platform Cost Inputs'!$I17/'Platform Cost Inputs'!$G17,0))/Million</f>
        <v>0</v>
      </c>
      <c r="X77" s="7">
        <f>(IF(AND(X$5&gt;='Platform Cost Inputs'!$F17,X$5&lt;'Platform Cost Inputs'!$H17),(1/'Platform Cost Inputs'!$G17)*'Platform Cost Inputs'!$I17,0)-IF(AND(X$5&lt;'Platform Cost Inputs'!$H17,Y$5&gt;'Platform Cost Inputs'!$H17),('Platform Cost Inputs'!$F17+'Platform Cost Inputs'!$G17-X$5)*'Platform Cost Inputs'!$I17/'Platform Cost Inputs'!$G17,0))/Million</f>
        <v>0</v>
      </c>
      <c r="Y77" s="7">
        <f>(IF(AND(Y$5&gt;='Platform Cost Inputs'!$F17,Y$5&lt;'Platform Cost Inputs'!$H17),(1/'Platform Cost Inputs'!$G17)*'Platform Cost Inputs'!$I17,0)-IF(AND(Y$5&lt;'Platform Cost Inputs'!$H17,Z$5&gt;'Platform Cost Inputs'!$H17),('Platform Cost Inputs'!$F17+'Platform Cost Inputs'!$G17-Y$5)*'Platform Cost Inputs'!$I17/'Platform Cost Inputs'!$G17,0))/Million</f>
        <v>0</v>
      </c>
      <c r="Z77" s="7">
        <f>(IF(AND(Z$5&gt;='Platform Cost Inputs'!$F17,Z$5&lt;'Platform Cost Inputs'!$H17),(1/'Platform Cost Inputs'!$G17)*'Platform Cost Inputs'!$I17,0)-IF(AND(Z$5&lt;'Platform Cost Inputs'!$H17,AA$5&gt;'Platform Cost Inputs'!$H17),('Platform Cost Inputs'!$F17+'Platform Cost Inputs'!$G17-Z$5)*'Platform Cost Inputs'!$I17/'Platform Cost Inputs'!$G17,0))/Million</f>
        <v>0</v>
      </c>
      <c r="AA77" s="7"/>
      <c r="AB77" s="7"/>
      <c r="AC77" s="7"/>
      <c r="AD77" s="7"/>
      <c r="AE77" s="7"/>
      <c r="AF77" s="7"/>
      <c r="AG77" s="7"/>
    </row>
    <row r="78" spans="1:33" ht="15.75" x14ac:dyDescent="0.25">
      <c r="A78" t="s">
        <v>98</v>
      </c>
      <c r="B78" t="s">
        <v>7</v>
      </c>
      <c r="C78" s="3" t="s">
        <v>9</v>
      </c>
      <c r="D78" s="24">
        <f t="shared" si="81"/>
        <v>1.0000818131895124</v>
      </c>
      <c r="E78" s="59">
        <f t="shared" si="78"/>
        <v>1.070262</v>
      </c>
      <c r="F78" s="59"/>
      <c r="G78" s="7">
        <f>(IF(AND(G$5&gt;='Platform Cost Inputs'!$F18,G$5&lt;'Platform Cost Inputs'!$H18),(1/'Platform Cost Inputs'!$G18)*'Platform Cost Inputs'!$I18,0)-IF(AND(G$5&lt;'Platform Cost Inputs'!$H18,H$5&gt;'Platform Cost Inputs'!$H18),('Platform Cost Inputs'!$F18+'Platform Cost Inputs'!$G18-G$5)*'Platform Cost Inputs'!$I18/'Platform Cost Inputs'!$G18,0))/Million</f>
        <v>0</v>
      </c>
      <c r="H78" s="7">
        <f>(IF(AND(H$5&gt;='Platform Cost Inputs'!$F18,H$5&lt;'Platform Cost Inputs'!$H18),(1/'Platform Cost Inputs'!$G18)*'Platform Cost Inputs'!$I18,0)-IF(AND(H$5&lt;'Platform Cost Inputs'!$H18,I$5&gt;'Platform Cost Inputs'!$H18),('Platform Cost Inputs'!$F18+'Platform Cost Inputs'!$G18-H$5)*'Platform Cost Inputs'!$I18/'Platform Cost Inputs'!$G18,0))/Million</f>
        <v>0</v>
      </c>
      <c r="I78" s="7">
        <f>(IF(AND(I$5&gt;='Platform Cost Inputs'!$F18,I$5&lt;'Platform Cost Inputs'!$H18),(1/'Platform Cost Inputs'!$G18)*'Platform Cost Inputs'!$I18,0)-IF(AND(I$5&lt;'Platform Cost Inputs'!$H18,J$5&gt;'Platform Cost Inputs'!$H18),('Platform Cost Inputs'!$F18+'Platform Cost Inputs'!$G18-I$5)*'Platform Cost Inputs'!$I18/'Platform Cost Inputs'!$G18,0))/Million</f>
        <v>1.070262</v>
      </c>
      <c r="J78" s="7">
        <f>(IF(AND(J$5&gt;='Platform Cost Inputs'!$F18,J$5&lt;'Platform Cost Inputs'!$H18),(1/'Platform Cost Inputs'!$G18)*'Platform Cost Inputs'!$I18,0)-IF(AND(J$5&lt;'Platform Cost Inputs'!$H18,K$5&gt;'Platform Cost Inputs'!$H18),('Platform Cost Inputs'!$F18+'Platform Cost Inputs'!$G18-J$5)*'Platform Cost Inputs'!$I18/'Platform Cost Inputs'!$G18,0))/Million</f>
        <v>0</v>
      </c>
      <c r="K78" s="7">
        <f>(IF(AND(K$5&gt;='Platform Cost Inputs'!$F18,K$5&lt;'Platform Cost Inputs'!$H18),(1/'Platform Cost Inputs'!$G18)*'Platform Cost Inputs'!$I18,0)-IF(AND(K$5&lt;'Platform Cost Inputs'!$H18,L$5&gt;'Platform Cost Inputs'!$H18),('Platform Cost Inputs'!$F18+'Platform Cost Inputs'!$G18-K$5)*'Platform Cost Inputs'!$I18/'Platform Cost Inputs'!$G18,0))/Million</f>
        <v>0</v>
      </c>
      <c r="L78" s="7">
        <f>(IF(AND(L$5&gt;='Platform Cost Inputs'!$F18,L$5&lt;'Platform Cost Inputs'!$H18),(1/'Platform Cost Inputs'!$G18)*'Platform Cost Inputs'!$I18,0)-IF(AND(L$5&lt;'Platform Cost Inputs'!$H18,M$5&gt;'Platform Cost Inputs'!$H18),('Platform Cost Inputs'!$F18+'Platform Cost Inputs'!$G18-L$5)*'Platform Cost Inputs'!$I18/'Platform Cost Inputs'!$G18,0))/Million</f>
        <v>0</v>
      </c>
      <c r="M78" s="7">
        <f>(IF(AND(M$5&gt;='Platform Cost Inputs'!$F18,M$5&lt;'Platform Cost Inputs'!$H18),(1/'Platform Cost Inputs'!$G18)*'Platform Cost Inputs'!$I18,0)-IF(AND(M$5&lt;'Platform Cost Inputs'!$H18,N$5&gt;'Platform Cost Inputs'!$H18),('Platform Cost Inputs'!$F18+'Platform Cost Inputs'!$G18-M$5)*'Platform Cost Inputs'!$I18/'Platform Cost Inputs'!$G18,0))/Million</f>
        <v>0</v>
      </c>
      <c r="N78" s="7">
        <f>(IF(AND(N$5&gt;='Platform Cost Inputs'!$F18,N$5&lt;'Platform Cost Inputs'!$H18),(1/'Platform Cost Inputs'!$G18)*'Platform Cost Inputs'!$I18,0)-IF(AND(N$5&lt;'Platform Cost Inputs'!$H18,O$5&gt;'Platform Cost Inputs'!$H18),('Platform Cost Inputs'!$F18+'Platform Cost Inputs'!$G18-N$5)*'Platform Cost Inputs'!$I18/'Platform Cost Inputs'!$G18,0))/Million</f>
        <v>0</v>
      </c>
      <c r="O78" s="7">
        <f>(IF(AND(O$5&gt;='Platform Cost Inputs'!$F18,O$5&lt;'Platform Cost Inputs'!$H18),(1/'Platform Cost Inputs'!$G18)*'Platform Cost Inputs'!$I18,0)-IF(AND(O$5&lt;'Platform Cost Inputs'!$H18,P$5&gt;'Platform Cost Inputs'!$H18),('Platform Cost Inputs'!$F18+'Platform Cost Inputs'!$G18-O$5)*'Platform Cost Inputs'!$I18/'Platform Cost Inputs'!$G18,0))/Million</f>
        <v>0</v>
      </c>
      <c r="P78" s="7">
        <f>(IF(AND(P$5&gt;='Platform Cost Inputs'!$F18,P$5&lt;'Platform Cost Inputs'!$H18),(1/'Platform Cost Inputs'!$G18)*'Platform Cost Inputs'!$I18,0)-IF(AND(P$5&lt;'Platform Cost Inputs'!$H18,Q$5&gt;'Platform Cost Inputs'!$H18),('Platform Cost Inputs'!$F18+'Platform Cost Inputs'!$G18-P$5)*'Platform Cost Inputs'!$I18/'Platform Cost Inputs'!$G18,0))/Million</f>
        <v>0</v>
      </c>
      <c r="Q78" s="7">
        <f>(IF(AND(Q$5&gt;='Platform Cost Inputs'!$F18,Q$5&lt;'Platform Cost Inputs'!$H18),(1/'Platform Cost Inputs'!$G18)*'Platform Cost Inputs'!$I18,0)-IF(AND(Q$5&lt;'Platform Cost Inputs'!$H18,R$5&gt;'Platform Cost Inputs'!$H18),('Platform Cost Inputs'!$F18+'Platform Cost Inputs'!$G18-Q$5)*'Platform Cost Inputs'!$I18/'Platform Cost Inputs'!$G18,0))/Million</f>
        <v>0</v>
      </c>
      <c r="R78" s="7">
        <f>(IF(AND(R$5&gt;='Platform Cost Inputs'!$F18,R$5&lt;'Platform Cost Inputs'!$H18),(1/'Platform Cost Inputs'!$G18)*'Platform Cost Inputs'!$I18,0)-IF(AND(R$5&lt;'Platform Cost Inputs'!$H18,S$5&gt;'Platform Cost Inputs'!$H18),('Platform Cost Inputs'!$F18+'Platform Cost Inputs'!$G18-R$5)*'Platform Cost Inputs'!$I18/'Platform Cost Inputs'!$G18,0))/Million</f>
        <v>0</v>
      </c>
      <c r="S78" s="7">
        <f>(IF(AND(S$5&gt;='Platform Cost Inputs'!$F18,S$5&lt;'Platform Cost Inputs'!$H18),(1/'Platform Cost Inputs'!$G18)*'Platform Cost Inputs'!$I18,0)-IF(AND(S$5&lt;'Platform Cost Inputs'!$H18,T$5&gt;'Platform Cost Inputs'!$H18),('Platform Cost Inputs'!$F18+'Platform Cost Inputs'!$G18-S$5)*'Platform Cost Inputs'!$I18/'Platform Cost Inputs'!$G18,0))/Million</f>
        <v>0</v>
      </c>
      <c r="T78" s="7">
        <f>(IF(AND(T$5&gt;='Platform Cost Inputs'!$F18,T$5&lt;'Platform Cost Inputs'!$H18),(1/'Platform Cost Inputs'!$G18)*'Platform Cost Inputs'!$I18,0)-IF(AND(T$5&lt;'Platform Cost Inputs'!$H18,U$5&gt;'Platform Cost Inputs'!$H18),('Platform Cost Inputs'!$F18+'Platform Cost Inputs'!$G18-T$5)*'Platform Cost Inputs'!$I18/'Platform Cost Inputs'!$G18,0))/Million</f>
        <v>0</v>
      </c>
      <c r="U78" s="7">
        <f>(IF(AND(U$5&gt;='Platform Cost Inputs'!$F18,U$5&lt;'Platform Cost Inputs'!$H18),(1/'Platform Cost Inputs'!$G18)*'Platform Cost Inputs'!$I18,0)-IF(AND(U$5&lt;'Platform Cost Inputs'!$H18,V$5&gt;'Platform Cost Inputs'!$H18),('Platform Cost Inputs'!$F18+'Platform Cost Inputs'!$G18-U$5)*'Platform Cost Inputs'!$I18/'Platform Cost Inputs'!$G18,0))/Million</f>
        <v>0</v>
      </c>
      <c r="V78" s="7">
        <f>(IF(AND(V$5&gt;='Platform Cost Inputs'!$F18,V$5&lt;'Platform Cost Inputs'!$H18),(1/'Platform Cost Inputs'!$G18)*'Platform Cost Inputs'!$I18,0)-IF(AND(V$5&lt;'Platform Cost Inputs'!$H18,W$5&gt;'Platform Cost Inputs'!$H18),('Platform Cost Inputs'!$F18+'Platform Cost Inputs'!$G18-V$5)*'Platform Cost Inputs'!$I18/'Platform Cost Inputs'!$G18,0))/Million</f>
        <v>0</v>
      </c>
      <c r="W78" s="7">
        <f>(IF(AND(W$5&gt;='Platform Cost Inputs'!$F18,W$5&lt;'Platform Cost Inputs'!$H18),(1/'Platform Cost Inputs'!$G18)*'Platform Cost Inputs'!$I18,0)-IF(AND(W$5&lt;'Platform Cost Inputs'!$H18,X$5&gt;'Platform Cost Inputs'!$H18),('Platform Cost Inputs'!$F18+'Platform Cost Inputs'!$G18-W$5)*'Platform Cost Inputs'!$I18/'Platform Cost Inputs'!$G18,0))/Million</f>
        <v>0</v>
      </c>
      <c r="X78" s="7">
        <f>(IF(AND(X$5&gt;='Platform Cost Inputs'!$F18,X$5&lt;'Platform Cost Inputs'!$H18),(1/'Platform Cost Inputs'!$G18)*'Platform Cost Inputs'!$I18,0)-IF(AND(X$5&lt;'Platform Cost Inputs'!$H18,Y$5&gt;'Platform Cost Inputs'!$H18),('Platform Cost Inputs'!$F18+'Platform Cost Inputs'!$G18-X$5)*'Platform Cost Inputs'!$I18/'Platform Cost Inputs'!$G18,0))/Million</f>
        <v>0</v>
      </c>
      <c r="Y78" s="7">
        <f>(IF(AND(Y$5&gt;='Platform Cost Inputs'!$F18,Y$5&lt;'Platform Cost Inputs'!$H18),(1/'Platform Cost Inputs'!$G18)*'Platform Cost Inputs'!$I18,0)-IF(AND(Y$5&lt;'Platform Cost Inputs'!$H18,Z$5&gt;'Platform Cost Inputs'!$H18),('Platform Cost Inputs'!$F18+'Platform Cost Inputs'!$G18-Y$5)*'Platform Cost Inputs'!$I18/'Platform Cost Inputs'!$G18,0))/Million</f>
        <v>0</v>
      </c>
      <c r="Z78" s="7">
        <f>(IF(AND(Z$5&gt;='Platform Cost Inputs'!$F18,Z$5&lt;'Platform Cost Inputs'!$H18),(1/'Platform Cost Inputs'!$G18)*'Platform Cost Inputs'!$I18,0)-IF(AND(Z$5&lt;'Platform Cost Inputs'!$H18,AA$5&gt;'Platform Cost Inputs'!$H18),('Platform Cost Inputs'!$F18+'Platform Cost Inputs'!$G18-Z$5)*'Platform Cost Inputs'!$I18/'Platform Cost Inputs'!$G18,0))/Million</f>
        <v>0</v>
      </c>
      <c r="AA78" s="7"/>
      <c r="AB78" s="7"/>
      <c r="AC78" s="7"/>
      <c r="AD78" s="7"/>
      <c r="AE78" s="7"/>
      <c r="AF78" s="7"/>
      <c r="AG78" s="7"/>
    </row>
    <row r="79" spans="1:33" ht="15.75" x14ac:dyDescent="0.25">
      <c r="A79" t="s">
        <v>320</v>
      </c>
      <c r="B79" t="s">
        <v>7</v>
      </c>
      <c r="C79" s="3" t="s">
        <v>9</v>
      </c>
      <c r="D79" s="24">
        <f t="shared" si="81"/>
        <v>0.99036564023976315</v>
      </c>
      <c r="E79" s="59">
        <f t="shared" si="78"/>
        <v>1.0598639999999999</v>
      </c>
      <c r="F79" s="59"/>
      <c r="G79" s="7">
        <f>(IF(AND(G$5&gt;='Platform Cost Inputs'!$F20,G$5&lt;'Platform Cost Inputs'!$H20),(1/'Platform Cost Inputs'!$G20)*'Platform Cost Inputs'!$I20,0)-IF(AND(G$5&lt;'Platform Cost Inputs'!$H20,H$5&gt;'Platform Cost Inputs'!$H20),('Platform Cost Inputs'!$F20+'Platform Cost Inputs'!$G20-G$5)*'Platform Cost Inputs'!$I20/'Platform Cost Inputs'!$G20,0))/Million</f>
        <v>0</v>
      </c>
      <c r="H79" s="7">
        <f>(IF(AND(H$5&gt;='Platform Cost Inputs'!$F20,H$5&lt;'Platform Cost Inputs'!$H20),(1/'Platform Cost Inputs'!$G20)*'Platform Cost Inputs'!$I20,0)-IF(AND(H$5&lt;'Platform Cost Inputs'!$H20,I$5&gt;'Platform Cost Inputs'!$H20),('Platform Cost Inputs'!$F20+'Platform Cost Inputs'!$G20-H$5)*'Platform Cost Inputs'!$I20/'Platform Cost Inputs'!$G20,0))/Million</f>
        <v>0</v>
      </c>
      <c r="I79" s="7">
        <f>(IF(AND(I$5&gt;='Platform Cost Inputs'!$F20,I$5&lt;'Platform Cost Inputs'!$H20),(1/'Platform Cost Inputs'!$G20)*'Platform Cost Inputs'!$I20,0)-IF(AND(I$5&lt;'Platform Cost Inputs'!$H20,J$5&gt;'Platform Cost Inputs'!$H20),('Platform Cost Inputs'!$F20+'Platform Cost Inputs'!$G20-I$5)*'Platform Cost Inputs'!$I20/'Platform Cost Inputs'!$G20,0))/Million</f>
        <v>1.0598639999999999</v>
      </c>
      <c r="J79" s="7">
        <f>(IF(AND(J$5&gt;='Platform Cost Inputs'!$F20,J$5&lt;'Platform Cost Inputs'!$H20),(1/'Platform Cost Inputs'!$G20)*'Platform Cost Inputs'!$I20,0)-IF(AND(J$5&lt;'Platform Cost Inputs'!$H20,K$5&gt;'Platform Cost Inputs'!$H20),('Platform Cost Inputs'!$F20+'Platform Cost Inputs'!$G20-J$5)*'Platform Cost Inputs'!$I20/'Platform Cost Inputs'!$G20,0))/Million</f>
        <v>0</v>
      </c>
      <c r="K79" s="7">
        <f>(IF(AND(K$5&gt;='Platform Cost Inputs'!$F20,K$5&lt;'Platform Cost Inputs'!$H20),(1/'Platform Cost Inputs'!$G20)*'Platform Cost Inputs'!$I20,0)-IF(AND(K$5&lt;'Platform Cost Inputs'!$H20,L$5&gt;'Platform Cost Inputs'!$H20),('Platform Cost Inputs'!$F20+'Platform Cost Inputs'!$G20-K$5)*'Platform Cost Inputs'!$I20/'Platform Cost Inputs'!$G20,0))/Million</f>
        <v>0</v>
      </c>
      <c r="L79" s="7">
        <f>(IF(AND(L$5&gt;='Platform Cost Inputs'!$F20,L$5&lt;'Platform Cost Inputs'!$H20),(1/'Platform Cost Inputs'!$G20)*'Platform Cost Inputs'!$I20,0)-IF(AND(L$5&lt;'Platform Cost Inputs'!$H20,M$5&gt;'Platform Cost Inputs'!$H20),('Platform Cost Inputs'!$F20+'Platform Cost Inputs'!$G20-L$5)*'Platform Cost Inputs'!$I20/'Platform Cost Inputs'!$G20,0))/Million</f>
        <v>0</v>
      </c>
      <c r="M79" s="7">
        <f>(IF(AND(M$5&gt;='Platform Cost Inputs'!$F20,M$5&lt;'Platform Cost Inputs'!$H20),(1/'Platform Cost Inputs'!$G20)*'Platform Cost Inputs'!$I20,0)-IF(AND(M$5&lt;'Platform Cost Inputs'!$H20,N$5&gt;'Platform Cost Inputs'!$H20),('Platform Cost Inputs'!$F20+'Platform Cost Inputs'!$G20-M$5)*'Platform Cost Inputs'!$I20/'Platform Cost Inputs'!$G20,0))/Million</f>
        <v>0</v>
      </c>
      <c r="N79" s="7">
        <f>(IF(AND(N$5&gt;='Platform Cost Inputs'!$F20,N$5&lt;'Platform Cost Inputs'!$H20),(1/'Platform Cost Inputs'!$G20)*'Platform Cost Inputs'!$I20,0)-IF(AND(N$5&lt;'Platform Cost Inputs'!$H20,O$5&gt;'Platform Cost Inputs'!$H20),('Platform Cost Inputs'!$F20+'Platform Cost Inputs'!$G20-N$5)*'Platform Cost Inputs'!$I20/'Platform Cost Inputs'!$G20,0))/Million</f>
        <v>0</v>
      </c>
      <c r="O79" s="7">
        <f>(IF(AND(O$5&gt;='Platform Cost Inputs'!$F20,O$5&lt;'Platform Cost Inputs'!$H20),(1/'Platform Cost Inputs'!$G20)*'Platform Cost Inputs'!$I20,0)-IF(AND(O$5&lt;'Platform Cost Inputs'!$H20,P$5&gt;'Platform Cost Inputs'!$H20),('Platform Cost Inputs'!$F20+'Platform Cost Inputs'!$G20-O$5)*'Platform Cost Inputs'!$I20/'Platform Cost Inputs'!$G20,0))/Million</f>
        <v>0</v>
      </c>
      <c r="P79" s="7">
        <f>(IF(AND(P$5&gt;='Platform Cost Inputs'!$F20,P$5&lt;'Platform Cost Inputs'!$H20),(1/'Platform Cost Inputs'!$G20)*'Platform Cost Inputs'!$I20,0)-IF(AND(P$5&lt;'Platform Cost Inputs'!$H20,Q$5&gt;'Platform Cost Inputs'!$H20),('Platform Cost Inputs'!$F20+'Platform Cost Inputs'!$G20-P$5)*'Platform Cost Inputs'!$I20/'Platform Cost Inputs'!$G20,0))/Million</f>
        <v>0</v>
      </c>
      <c r="Q79" s="7">
        <f>(IF(AND(Q$5&gt;='Platform Cost Inputs'!$F20,Q$5&lt;'Platform Cost Inputs'!$H20),(1/'Platform Cost Inputs'!$G20)*'Platform Cost Inputs'!$I20,0)-IF(AND(Q$5&lt;'Platform Cost Inputs'!$H20,R$5&gt;'Platform Cost Inputs'!$H20),('Platform Cost Inputs'!$F20+'Platform Cost Inputs'!$G20-Q$5)*'Platform Cost Inputs'!$I20/'Platform Cost Inputs'!$G20,0))/Million</f>
        <v>0</v>
      </c>
      <c r="R79" s="7">
        <f>(IF(AND(R$5&gt;='Platform Cost Inputs'!$F20,R$5&lt;'Platform Cost Inputs'!$H20),(1/'Platform Cost Inputs'!$G20)*'Platform Cost Inputs'!$I20,0)-IF(AND(R$5&lt;'Platform Cost Inputs'!$H20,S$5&gt;'Platform Cost Inputs'!$H20),('Platform Cost Inputs'!$F20+'Platform Cost Inputs'!$G20-R$5)*'Platform Cost Inputs'!$I20/'Platform Cost Inputs'!$G20,0))/Million</f>
        <v>0</v>
      </c>
      <c r="S79" s="7">
        <f>(IF(AND(S$5&gt;='Platform Cost Inputs'!$F20,S$5&lt;'Platform Cost Inputs'!$H20),(1/'Platform Cost Inputs'!$G20)*'Platform Cost Inputs'!$I20,0)-IF(AND(S$5&lt;'Platform Cost Inputs'!$H20,T$5&gt;'Platform Cost Inputs'!$H20),('Platform Cost Inputs'!$F20+'Platform Cost Inputs'!$G20-S$5)*'Platform Cost Inputs'!$I20/'Platform Cost Inputs'!$G20,0))/Million</f>
        <v>0</v>
      </c>
      <c r="T79" s="7">
        <f>(IF(AND(T$5&gt;='Platform Cost Inputs'!$F20,T$5&lt;'Platform Cost Inputs'!$H20),(1/'Platform Cost Inputs'!$G20)*'Platform Cost Inputs'!$I20,0)-IF(AND(T$5&lt;'Platform Cost Inputs'!$H20,U$5&gt;'Platform Cost Inputs'!$H20),('Platform Cost Inputs'!$F20+'Platform Cost Inputs'!$G20-T$5)*'Platform Cost Inputs'!$I20/'Platform Cost Inputs'!$G20,0))/Million</f>
        <v>0</v>
      </c>
      <c r="U79" s="7">
        <f>(IF(AND(U$5&gt;='Platform Cost Inputs'!$F20,U$5&lt;'Platform Cost Inputs'!$H20),(1/'Platform Cost Inputs'!$G20)*'Platform Cost Inputs'!$I20,0)-IF(AND(U$5&lt;'Platform Cost Inputs'!$H20,V$5&gt;'Platform Cost Inputs'!$H20),('Platform Cost Inputs'!$F20+'Platform Cost Inputs'!$G20-U$5)*'Platform Cost Inputs'!$I20/'Platform Cost Inputs'!$G20,0))/Million</f>
        <v>0</v>
      </c>
      <c r="V79" s="7">
        <f>(IF(AND(V$5&gt;='Platform Cost Inputs'!$F20,V$5&lt;'Platform Cost Inputs'!$H20),(1/'Platform Cost Inputs'!$G20)*'Platform Cost Inputs'!$I20,0)-IF(AND(V$5&lt;'Platform Cost Inputs'!$H20,W$5&gt;'Platform Cost Inputs'!$H20),('Platform Cost Inputs'!$F20+'Platform Cost Inputs'!$G20-V$5)*'Platform Cost Inputs'!$I20/'Platform Cost Inputs'!$G20,0))/Million</f>
        <v>0</v>
      </c>
      <c r="W79" s="7">
        <f>(IF(AND(W$5&gt;='Platform Cost Inputs'!$F20,W$5&lt;'Platform Cost Inputs'!$H20),(1/'Platform Cost Inputs'!$G20)*'Platform Cost Inputs'!$I20,0)-IF(AND(W$5&lt;'Platform Cost Inputs'!$H20,X$5&gt;'Platform Cost Inputs'!$H20),('Platform Cost Inputs'!$F20+'Platform Cost Inputs'!$G20-W$5)*'Platform Cost Inputs'!$I20/'Platform Cost Inputs'!$G20,0))/Million</f>
        <v>0</v>
      </c>
      <c r="X79" s="7">
        <f>(IF(AND(X$5&gt;='Platform Cost Inputs'!$F20,X$5&lt;'Platform Cost Inputs'!$H20),(1/'Platform Cost Inputs'!$G20)*'Platform Cost Inputs'!$I20,0)-IF(AND(X$5&lt;'Platform Cost Inputs'!$H20,Y$5&gt;'Platform Cost Inputs'!$H20),('Platform Cost Inputs'!$F20+'Platform Cost Inputs'!$G20-X$5)*'Platform Cost Inputs'!$I20/'Platform Cost Inputs'!$G20,0))/Million</f>
        <v>0</v>
      </c>
      <c r="Y79" s="7">
        <f>(IF(AND(Y$5&gt;='Platform Cost Inputs'!$F20,Y$5&lt;'Platform Cost Inputs'!$H20),(1/'Platform Cost Inputs'!$G20)*'Platform Cost Inputs'!$I20,0)-IF(AND(Y$5&lt;'Platform Cost Inputs'!$H20,Z$5&gt;'Platform Cost Inputs'!$H20),('Platform Cost Inputs'!$F20+'Platform Cost Inputs'!$G20-Y$5)*'Platform Cost Inputs'!$I20/'Platform Cost Inputs'!$G20,0))/Million</f>
        <v>0</v>
      </c>
      <c r="Z79" s="7">
        <f>(IF(AND(Z$5&gt;='Platform Cost Inputs'!$F20,Z$5&lt;'Platform Cost Inputs'!$H20),(1/'Platform Cost Inputs'!$G20)*'Platform Cost Inputs'!$I20,0)-IF(AND(Z$5&lt;'Platform Cost Inputs'!$H20,AA$5&gt;'Platform Cost Inputs'!$H20),('Platform Cost Inputs'!$F20+'Platform Cost Inputs'!$G20-Z$5)*'Platform Cost Inputs'!$I20/'Platform Cost Inputs'!$G20,0))/Million</f>
        <v>0</v>
      </c>
      <c r="AA79" s="7"/>
      <c r="AB79" s="7"/>
      <c r="AC79" s="7"/>
      <c r="AD79" s="7"/>
      <c r="AE79" s="7"/>
      <c r="AF79" s="7"/>
      <c r="AG79" s="7"/>
    </row>
    <row r="80" spans="1:33" ht="15.75" x14ac:dyDescent="0.25">
      <c r="A80" t="s">
        <v>322</v>
      </c>
      <c r="B80" t="s">
        <v>7</v>
      </c>
      <c r="C80" s="3" t="s">
        <v>9</v>
      </c>
      <c r="D80" s="24">
        <f t="shared" si="81"/>
        <v>0.94691002160461368</v>
      </c>
      <c r="E80" s="59">
        <f t="shared" si="78"/>
        <v>1.06986</v>
      </c>
      <c r="F80" s="59"/>
      <c r="G80" s="7">
        <f>(IF(AND(G$5&gt;='Platform Cost Inputs'!$F21,G$5&lt;'Platform Cost Inputs'!$H21),(1/'Platform Cost Inputs'!$G21)*'Platform Cost Inputs'!$I21,0)-IF(AND(G$5&lt;'Platform Cost Inputs'!$H21,H$5&gt;'Platform Cost Inputs'!$H21),('Platform Cost Inputs'!$F21+'Platform Cost Inputs'!$G21-G$5)*'Platform Cost Inputs'!$I21/'Platform Cost Inputs'!$G21,0))/Million</f>
        <v>0</v>
      </c>
      <c r="H80" s="7">
        <f>(IF(AND(H$5&gt;='Platform Cost Inputs'!$F21,H$5&lt;'Platform Cost Inputs'!$H21),(1/'Platform Cost Inputs'!$G21)*'Platform Cost Inputs'!$I21,0)-IF(AND(H$5&lt;'Platform Cost Inputs'!$H21,I$5&gt;'Platform Cost Inputs'!$H21),('Platform Cost Inputs'!$F21+'Platform Cost Inputs'!$G21-H$5)*'Platform Cost Inputs'!$I21/'Platform Cost Inputs'!$G21,0))/Million</f>
        <v>0</v>
      </c>
      <c r="I80" s="7">
        <f>(IF(AND(I$5&gt;='Platform Cost Inputs'!$F21,I$5&lt;'Platform Cost Inputs'!$H21),(1/'Platform Cost Inputs'!$G21)*'Platform Cost Inputs'!$I21,0)-IF(AND(I$5&lt;'Platform Cost Inputs'!$H21,J$5&gt;'Platform Cost Inputs'!$H21),('Platform Cost Inputs'!$F21+'Platform Cost Inputs'!$G21-I$5)*'Platform Cost Inputs'!$I21/'Platform Cost Inputs'!$G21,0))/Million</f>
        <v>0</v>
      </c>
      <c r="J80" s="7">
        <f>(IF(AND(J$5&gt;='Platform Cost Inputs'!$F21,J$5&lt;'Platform Cost Inputs'!$H21),(1/'Platform Cost Inputs'!$G21)*'Platform Cost Inputs'!$I21,0)-IF(AND(J$5&lt;'Platform Cost Inputs'!$H21,K$5&gt;'Platform Cost Inputs'!$H21),('Platform Cost Inputs'!$F21+'Platform Cost Inputs'!$G21-J$5)*'Platform Cost Inputs'!$I21/'Platform Cost Inputs'!$G21,0))/Million</f>
        <v>0</v>
      </c>
      <c r="K80" s="7">
        <f>(IF(AND(K$5&gt;='Platform Cost Inputs'!$F21,K$5&lt;'Platform Cost Inputs'!$H21),(1/'Platform Cost Inputs'!$G21)*'Platform Cost Inputs'!$I21,0)-IF(AND(K$5&lt;'Platform Cost Inputs'!$H21,L$5&gt;'Platform Cost Inputs'!$H21),('Platform Cost Inputs'!$F21+'Platform Cost Inputs'!$G21-K$5)*'Platform Cost Inputs'!$I21/'Platform Cost Inputs'!$G21,0))/Million</f>
        <v>1.06986</v>
      </c>
      <c r="L80" s="7">
        <f>(IF(AND(L$5&gt;='Platform Cost Inputs'!$F21,L$5&lt;'Platform Cost Inputs'!$H21),(1/'Platform Cost Inputs'!$G21)*'Platform Cost Inputs'!$I21,0)-IF(AND(L$5&lt;'Platform Cost Inputs'!$H21,M$5&gt;'Platform Cost Inputs'!$H21),('Platform Cost Inputs'!$F21+'Platform Cost Inputs'!$G21-L$5)*'Platform Cost Inputs'!$I21/'Platform Cost Inputs'!$G21,0))/Million</f>
        <v>0</v>
      </c>
      <c r="M80" s="7">
        <f>(IF(AND(M$5&gt;='Platform Cost Inputs'!$F21,M$5&lt;'Platform Cost Inputs'!$H21),(1/'Platform Cost Inputs'!$G21)*'Platform Cost Inputs'!$I21,0)-IF(AND(M$5&lt;'Platform Cost Inputs'!$H21,N$5&gt;'Platform Cost Inputs'!$H21),('Platform Cost Inputs'!$F21+'Platform Cost Inputs'!$G21-M$5)*'Platform Cost Inputs'!$I21/'Platform Cost Inputs'!$G21,0))/Million</f>
        <v>0</v>
      </c>
      <c r="N80" s="7">
        <f>(IF(AND(N$5&gt;='Platform Cost Inputs'!$F21,N$5&lt;'Platform Cost Inputs'!$H21),(1/'Platform Cost Inputs'!$G21)*'Platform Cost Inputs'!$I21,0)-IF(AND(N$5&lt;'Platform Cost Inputs'!$H21,O$5&gt;'Platform Cost Inputs'!$H21),('Platform Cost Inputs'!$F21+'Platform Cost Inputs'!$G21-N$5)*'Platform Cost Inputs'!$I21/'Platform Cost Inputs'!$G21,0))/Million</f>
        <v>0</v>
      </c>
      <c r="O80" s="7">
        <f>(IF(AND(O$5&gt;='Platform Cost Inputs'!$F21,O$5&lt;'Platform Cost Inputs'!$H21),(1/'Platform Cost Inputs'!$G21)*'Platform Cost Inputs'!$I21,0)-IF(AND(O$5&lt;'Platform Cost Inputs'!$H21,P$5&gt;'Platform Cost Inputs'!$H21),('Platform Cost Inputs'!$F21+'Platform Cost Inputs'!$G21-O$5)*'Platform Cost Inputs'!$I21/'Platform Cost Inputs'!$G21,0))/Million</f>
        <v>0</v>
      </c>
      <c r="P80" s="7">
        <f>(IF(AND(P$5&gt;='Platform Cost Inputs'!$F21,P$5&lt;'Platform Cost Inputs'!$H21),(1/'Platform Cost Inputs'!$G21)*'Platform Cost Inputs'!$I21,0)-IF(AND(P$5&lt;'Platform Cost Inputs'!$H21,Q$5&gt;'Platform Cost Inputs'!$H21),('Platform Cost Inputs'!$F21+'Platform Cost Inputs'!$G21-P$5)*'Platform Cost Inputs'!$I21/'Platform Cost Inputs'!$G21,0))/Million</f>
        <v>0</v>
      </c>
      <c r="Q80" s="7">
        <f>(IF(AND(Q$5&gt;='Platform Cost Inputs'!$F21,Q$5&lt;'Platform Cost Inputs'!$H21),(1/'Platform Cost Inputs'!$G21)*'Platform Cost Inputs'!$I21,0)-IF(AND(Q$5&lt;'Platform Cost Inputs'!$H21,R$5&gt;'Platform Cost Inputs'!$H21),('Platform Cost Inputs'!$F21+'Platform Cost Inputs'!$G21-Q$5)*'Platform Cost Inputs'!$I21/'Platform Cost Inputs'!$G21,0))/Million</f>
        <v>0</v>
      </c>
      <c r="R80" s="7">
        <f>(IF(AND(R$5&gt;='Platform Cost Inputs'!$F21,R$5&lt;'Platform Cost Inputs'!$H21),(1/'Platform Cost Inputs'!$G21)*'Platform Cost Inputs'!$I21,0)-IF(AND(R$5&lt;'Platform Cost Inputs'!$H21,S$5&gt;'Platform Cost Inputs'!$H21),('Platform Cost Inputs'!$F21+'Platform Cost Inputs'!$G21-R$5)*'Platform Cost Inputs'!$I21/'Platform Cost Inputs'!$G21,0))/Million</f>
        <v>0</v>
      </c>
      <c r="S80" s="7">
        <f>(IF(AND(S$5&gt;='Platform Cost Inputs'!$F21,S$5&lt;'Platform Cost Inputs'!$H21),(1/'Platform Cost Inputs'!$G21)*'Platform Cost Inputs'!$I21,0)-IF(AND(S$5&lt;'Platform Cost Inputs'!$H21,T$5&gt;'Platform Cost Inputs'!$H21),('Platform Cost Inputs'!$F21+'Platform Cost Inputs'!$G21-S$5)*'Platform Cost Inputs'!$I21/'Platform Cost Inputs'!$G21,0))/Million</f>
        <v>0</v>
      </c>
      <c r="T80" s="7">
        <f>(IF(AND(T$5&gt;='Platform Cost Inputs'!$F21,T$5&lt;'Platform Cost Inputs'!$H21),(1/'Platform Cost Inputs'!$G21)*'Platform Cost Inputs'!$I21,0)-IF(AND(T$5&lt;'Platform Cost Inputs'!$H21,U$5&gt;'Platform Cost Inputs'!$H21),('Platform Cost Inputs'!$F21+'Platform Cost Inputs'!$G21-T$5)*'Platform Cost Inputs'!$I21/'Platform Cost Inputs'!$G21,0))/Million</f>
        <v>0</v>
      </c>
      <c r="U80" s="7">
        <f>(IF(AND(U$5&gt;='Platform Cost Inputs'!$F21,U$5&lt;'Platform Cost Inputs'!$H21),(1/'Platform Cost Inputs'!$G21)*'Platform Cost Inputs'!$I21,0)-IF(AND(U$5&lt;'Platform Cost Inputs'!$H21,V$5&gt;'Platform Cost Inputs'!$H21),('Platform Cost Inputs'!$F21+'Platform Cost Inputs'!$G21-U$5)*'Platform Cost Inputs'!$I21/'Platform Cost Inputs'!$G21,0))/Million</f>
        <v>0</v>
      </c>
      <c r="V80" s="7">
        <f>(IF(AND(V$5&gt;='Platform Cost Inputs'!$F21,V$5&lt;'Platform Cost Inputs'!$H21),(1/'Platform Cost Inputs'!$G21)*'Platform Cost Inputs'!$I21,0)-IF(AND(V$5&lt;'Platform Cost Inputs'!$H21,W$5&gt;'Platform Cost Inputs'!$H21),('Platform Cost Inputs'!$F21+'Platform Cost Inputs'!$G21-V$5)*'Platform Cost Inputs'!$I21/'Platform Cost Inputs'!$G21,0))/Million</f>
        <v>0</v>
      </c>
      <c r="W80" s="7">
        <f>(IF(AND(W$5&gt;='Platform Cost Inputs'!$F21,W$5&lt;'Platform Cost Inputs'!$H21),(1/'Platform Cost Inputs'!$G21)*'Platform Cost Inputs'!$I21,0)-IF(AND(W$5&lt;'Platform Cost Inputs'!$H21,X$5&gt;'Platform Cost Inputs'!$H21),('Platform Cost Inputs'!$F21+'Platform Cost Inputs'!$G21-W$5)*'Platform Cost Inputs'!$I21/'Platform Cost Inputs'!$G21,0))/Million</f>
        <v>0</v>
      </c>
      <c r="X80" s="7">
        <f>(IF(AND(X$5&gt;='Platform Cost Inputs'!$F21,X$5&lt;'Platform Cost Inputs'!$H21),(1/'Platform Cost Inputs'!$G21)*'Platform Cost Inputs'!$I21,0)-IF(AND(X$5&lt;'Platform Cost Inputs'!$H21,Y$5&gt;'Platform Cost Inputs'!$H21),('Platform Cost Inputs'!$F21+'Platform Cost Inputs'!$G21-X$5)*'Platform Cost Inputs'!$I21/'Platform Cost Inputs'!$G21,0))/Million</f>
        <v>0</v>
      </c>
      <c r="Y80" s="7">
        <f>(IF(AND(Y$5&gt;='Platform Cost Inputs'!$F21,Y$5&lt;'Platform Cost Inputs'!$H21),(1/'Platform Cost Inputs'!$G21)*'Platform Cost Inputs'!$I21,0)-IF(AND(Y$5&lt;'Platform Cost Inputs'!$H21,Z$5&gt;'Platform Cost Inputs'!$H21),('Platform Cost Inputs'!$F21+'Platform Cost Inputs'!$G21-Y$5)*'Platform Cost Inputs'!$I21/'Platform Cost Inputs'!$G21,0))/Million</f>
        <v>0</v>
      </c>
      <c r="Z80" s="7">
        <f>(IF(AND(Z$5&gt;='Platform Cost Inputs'!$F21,Z$5&lt;'Platform Cost Inputs'!$H21),(1/'Platform Cost Inputs'!$G21)*'Platform Cost Inputs'!$I21,0)-IF(AND(Z$5&lt;'Platform Cost Inputs'!$H21,AA$5&gt;'Platform Cost Inputs'!$H21),('Platform Cost Inputs'!$F21+'Platform Cost Inputs'!$G21-Z$5)*'Platform Cost Inputs'!$I21/'Platform Cost Inputs'!$G21,0))/Million</f>
        <v>0</v>
      </c>
      <c r="AA80" s="7"/>
      <c r="AB80" s="7"/>
      <c r="AC80" s="7"/>
      <c r="AD80" s="7"/>
      <c r="AE80" s="7"/>
      <c r="AF80" s="7"/>
      <c r="AG80" s="7"/>
    </row>
    <row r="81" spans="1:37" s="1" customFormat="1" ht="15.75" x14ac:dyDescent="0.25">
      <c r="A81" s="211" t="s">
        <v>337</v>
      </c>
      <c r="B81" s="211" t="s">
        <v>7</v>
      </c>
      <c r="C81" s="212" t="str">
        <f>C80</f>
        <v>NPV</v>
      </c>
      <c r="D81" s="213">
        <f t="shared" ref="D81" si="82">SUM(D70:D80)</f>
        <v>20.088319910198699</v>
      </c>
      <c r="E81" s="214">
        <f>SUM(E70:E80)</f>
        <v>21.038312999999999</v>
      </c>
      <c r="F81" s="214"/>
      <c r="G81" s="215">
        <f t="shared" ref="G81" si="83">SUM(G70:G80)</f>
        <v>6.7182313333333337</v>
      </c>
      <c r="H81" s="215">
        <f t="shared" ref="H81" si="84">SUM(H70:H80)</f>
        <v>7.332082333333334</v>
      </c>
      <c r="I81" s="215">
        <f t="shared" ref="I81" si="85">SUM(I70:I80)</f>
        <v>4.2248593333333329</v>
      </c>
      <c r="J81" s="215">
        <f t="shared" ref="J81" si="86">SUM(J70:J80)</f>
        <v>1.1288533333333333</v>
      </c>
      <c r="K81" s="215">
        <f t="shared" ref="K81" si="87">SUM(K70:K80)</f>
        <v>1.6342866666666667</v>
      </c>
      <c r="L81" s="215">
        <f t="shared" ref="L81" si="88">SUM(L70:L80)</f>
        <v>0</v>
      </c>
      <c r="M81" s="215">
        <f t="shared" ref="M81" si="89">SUM(M70:M80)</f>
        <v>0</v>
      </c>
      <c r="N81" s="215">
        <f t="shared" ref="N81" si="90">SUM(N70:N80)</f>
        <v>0</v>
      </c>
      <c r="O81" s="215">
        <f t="shared" ref="O81" si="91">SUM(O70:O80)</f>
        <v>0</v>
      </c>
      <c r="P81" s="215">
        <f t="shared" ref="P81" si="92">SUM(P70:P80)</f>
        <v>0</v>
      </c>
      <c r="Q81" s="215">
        <f t="shared" ref="Q81" si="93">SUM(Q70:Q80)</f>
        <v>0</v>
      </c>
      <c r="R81" s="215">
        <f t="shared" ref="R81" si="94">SUM(R70:R80)</f>
        <v>0</v>
      </c>
      <c r="S81" s="215">
        <f t="shared" ref="S81" si="95">SUM(S70:S80)</f>
        <v>0</v>
      </c>
      <c r="T81" s="215">
        <f t="shared" ref="T81" si="96">SUM(T70:T80)</f>
        <v>0</v>
      </c>
      <c r="U81" s="215">
        <f t="shared" ref="U81" si="97">SUM(U70:U80)</f>
        <v>0</v>
      </c>
      <c r="V81" s="215">
        <f t="shared" ref="V81" si="98">SUM(V70:V80)</f>
        <v>0</v>
      </c>
      <c r="W81" s="215">
        <f t="shared" ref="W81" si="99">SUM(W70:W80)</f>
        <v>0</v>
      </c>
      <c r="X81" s="215">
        <f t="shared" ref="X81" si="100">SUM(X70:X80)</f>
        <v>0</v>
      </c>
      <c r="Y81" s="215">
        <f t="shared" ref="Y81" si="101">SUM(Y70:Y80)</f>
        <v>0</v>
      </c>
      <c r="Z81" s="215">
        <f t="shared" ref="Z81" si="102">SUM(Z70:Z80)</f>
        <v>0</v>
      </c>
    </row>
    <row r="82" spans="1:37" ht="15.75" x14ac:dyDescent="0.25">
      <c r="C82" s="4"/>
      <c r="D82" s="25"/>
      <c r="E82" s="59"/>
      <c r="F82" s="59"/>
      <c r="G82" s="7"/>
      <c r="H82" s="7"/>
      <c r="I82" s="7"/>
    </row>
    <row r="83" spans="1:37" x14ac:dyDescent="0.25">
      <c r="A83" s="1" t="s">
        <v>100</v>
      </c>
      <c r="E83" s="59"/>
      <c r="F83" s="59"/>
    </row>
    <row r="84" spans="1:37" ht="15.75" x14ac:dyDescent="0.25">
      <c r="A84" s="26" t="s">
        <v>93</v>
      </c>
      <c r="B84" t="s">
        <v>7</v>
      </c>
      <c r="C84" s="3" t="s">
        <v>9</v>
      </c>
      <c r="D84" s="24">
        <f>SUMPRODUCT(G84:Z84,G$7:Z$7)</f>
        <v>2.7937235379892353</v>
      </c>
      <c r="E84" s="59">
        <f t="shared" si="78"/>
        <v>3.7000000000000011</v>
      </c>
      <c r="F84" s="59"/>
      <c r="G84" s="7">
        <f>(IF('Cost Calcs'!G$5&gt;='Platform Cost Inputs'!$H8,'Platform Cost Inputs'!$J8,0)+IF(AND(G$5&lt;'Platform Cost Inputs'!$H8,H$5&gt;'Platform Cost Inputs'!$H8),(('Platform Cost Inputs'!$H8-G$5)*'Platform Cost Inputs'!$J8),0))/Million</f>
        <v>0</v>
      </c>
      <c r="H84" s="7">
        <f>(IF('Cost Calcs'!H$5&gt;='Platform Cost Inputs'!$H8,'Platform Cost Inputs'!$J8,0)+IF(AND(H$5&lt;'Platform Cost Inputs'!$H8,I$5&gt;'Platform Cost Inputs'!$H8),(('Platform Cost Inputs'!$H8-H$5)*'Platform Cost Inputs'!$J8),0))/Million</f>
        <v>0.1</v>
      </c>
      <c r="I84" s="7">
        <f>(IF('Cost Calcs'!I$5&gt;='Platform Cost Inputs'!$H8,'Platform Cost Inputs'!$J8,0)+IF(AND(I$5&lt;'Platform Cost Inputs'!$H8,J$5&gt;'Platform Cost Inputs'!$H8),(('Platform Cost Inputs'!$H8-I$5)*'Platform Cost Inputs'!$J8),0))/Million</f>
        <v>0.2</v>
      </c>
      <c r="J84" s="7">
        <f>(IF('Cost Calcs'!J$5&gt;='Platform Cost Inputs'!$H8,'Platform Cost Inputs'!$J8,0)+IF(AND(J$5&lt;'Platform Cost Inputs'!$H8,K$5&gt;'Platform Cost Inputs'!$H8),(('Platform Cost Inputs'!$H8-J$5)*'Platform Cost Inputs'!$J8),0))/Million</f>
        <v>0.2</v>
      </c>
      <c r="K84" s="7">
        <f>(IF('Cost Calcs'!K$5&gt;='Platform Cost Inputs'!$H8,'Platform Cost Inputs'!$J8,0)+IF(AND(K$5&lt;'Platform Cost Inputs'!$H8,L$5&gt;'Platform Cost Inputs'!$H8),(('Platform Cost Inputs'!$H8-K$5)*'Platform Cost Inputs'!$J8),0))/Million</f>
        <v>0.2</v>
      </c>
      <c r="L84" s="7">
        <f>(IF('Cost Calcs'!L$5&gt;='Platform Cost Inputs'!$H8,'Platform Cost Inputs'!$J8,0)+IF(AND(L$5&lt;'Platform Cost Inputs'!$H8,M$5&gt;'Platform Cost Inputs'!$H8),(('Platform Cost Inputs'!$H8-L$5)*'Platform Cost Inputs'!$J8),0))/Million</f>
        <v>0.2</v>
      </c>
      <c r="M84" s="7">
        <f>(IF('Cost Calcs'!M$5&gt;='Platform Cost Inputs'!$H8,'Platform Cost Inputs'!$J8,0)+IF(AND(M$5&lt;'Platform Cost Inputs'!$H8,N$5&gt;'Platform Cost Inputs'!$H8),(('Platform Cost Inputs'!$H8-M$5)*'Platform Cost Inputs'!$J8),0))/Million</f>
        <v>0.2</v>
      </c>
      <c r="N84" s="7">
        <f>(IF('Cost Calcs'!N$5&gt;='Platform Cost Inputs'!$H8,'Platform Cost Inputs'!$J8,0)+IF(AND(N$5&lt;'Platform Cost Inputs'!$H8,O$5&gt;'Platform Cost Inputs'!$H8),(('Platform Cost Inputs'!$H8-N$5)*'Platform Cost Inputs'!$J8),0))/Million</f>
        <v>0.2</v>
      </c>
      <c r="O84" s="7">
        <f>(IF('Cost Calcs'!O$5&gt;='Platform Cost Inputs'!$H8,'Platform Cost Inputs'!$J8,0)+IF(AND(O$5&lt;'Platform Cost Inputs'!$H8,P$5&gt;'Platform Cost Inputs'!$H8),(('Platform Cost Inputs'!$H8-O$5)*'Platform Cost Inputs'!$J8),0))/Million</f>
        <v>0.2</v>
      </c>
      <c r="P84" s="7">
        <f>(IF('Cost Calcs'!P$5&gt;='Platform Cost Inputs'!$H8,'Platform Cost Inputs'!$J8,0)+IF(AND(P$5&lt;'Platform Cost Inputs'!$H8,Q$5&gt;'Platform Cost Inputs'!$H8),(('Platform Cost Inputs'!$H8-P$5)*'Platform Cost Inputs'!$J8),0))/Million</f>
        <v>0.2</v>
      </c>
      <c r="Q84" s="7">
        <f>(IF('Cost Calcs'!Q$5&gt;='Platform Cost Inputs'!$H8,'Platform Cost Inputs'!$J8,0)+IF(AND(Q$5&lt;'Platform Cost Inputs'!$H8,R$5&gt;'Platform Cost Inputs'!$H8),(('Platform Cost Inputs'!$H8-Q$5)*'Platform Cost Inputs'!$J8),0))/Million</f>
        <v>0.2</v>
      </c>
      <c r="R84" s="7">
        <f>(IF('Cost Calcs'!R$5&gt;='Platform Cost Inputs'!$H8,'Platform Cost Inputs'!$J8,0)+IF(AND(R$5&lt;'Platform Cost Inputs'!$H8,S$5&gt;'Platform Cost Inputs'!$H8),(('Platform Cost Inputs'!$H8-R$5)*'Platform Cost Inputs'!$J8),0))/Million</f>
        <v>0.2</v>
      </c>
      <c r="S84" s="7">
        <f>(IF('Cost Calcs'!S$5&gt;='Platform Cost Inputs'!$H8,'Platform Cost Inputs'!$J8,0)+IF(AND(S$5&lt;'Platform Cost Inputs'!$H8,T$5&gt;'Platform Cost Inputs'!$H8),(('Platform Cost Inputs'!$H8-S$5)*'Platform Cost Inputs'!$J8),0))/Million</f>
        <v>0.2</v>
      </c>
      <c r="T84" s="7">
        <f>(IF('Cost Calcs'!T$5&gt;='Platform Cost Inputs'!$H8,'Platform Cost Inputs'!$J8,0)+IF(AND(T$5&lt;'Platform Cost Inputs'!$H8,U$5&gt;'Platform Cost Inputs'!$H8),(('Platform Cost Inputs'!$H8-T$5)*'Platform Cost Inputs'!$J8),0))/Million</f>
        <v>0.2</v>
      </c>
      <c r="U84" s="7">
        <f>(IF('Cost Calcs'!U$5&gt;='Platform Cost Inputs'!$H8,'Platform Cost Inputs'!$J8,0)+IF(AND(U$5&lt;'Platform Cost Inputs'!$H8,V$5&gt;'Platform Cost Inputs'!$H8),(('Platform Cost Inputs'!$H8-U$5)*'Platform Cost Inputs'!$J8),0))/Million</f>
        <v>0.2</v>
      </c>
      <c r="V84" s="7">
        <f>(IF('Cost Calcs'!V$5&gt;='Platform Cost Inputs'!$H8,'Platform Cost Inputs'!$J8,0)+IF(AND(V$5&lt;'Platform Cost Inputs'!$H8,W$5&gt;'Platform Cost Inputs'!$H8),(('Platform Cost Inputs'!$H8-V$5)*'Platform Cost Inputs'!$J8),0))/Million</f>
        <v>0.2</v>
      </c>
      <c r="W84" s="7">
        <f>(IF('Cost Calcs'!W$5&gt;='Platform Cost Inputs'!$H8,'Platform Cost Inputs'!$J8,0)+IF(AND(W$5&lt;'Platform Cost Inputs'!$H8,X$5&gt;'Platform Cost Inputs'!$H8),(('Platform Cost Inputs'!$H8-W$5)*'Platform Cost Inputs'!$J8),0))/Million</f>
        <v>0.2</v>
      </c>
      <c r="X84" s="7">
        <f>(IF('Cost Calcs'!X$5&gt;='Platform Cost Inputs'!$H8,'Platform Cost Inputs'!$J8,0)+IF(AND(X$5&lt;'Platform Cost Inputs'!$H8,Y$5&gt;'Platform Cost Inputs'!$H8),(('Platform Cost Inputs'!$H8-X$5)*'Platform Cost Inputs'!$J8),0))/Million</f>
        <v>0.2</v>
      </c>
      <c r="Y84" s="7">
        <f>(IF('Cost Calcs'!Y$5&gt;='Platform Cost Inputs'!$H8,'Platform Cost Inputs'!$J8,0)+IF(AND(Y$5&lt;'Platform Cost Inputs'!$H8,Z$5&gt;'Platform Cost Inputs'!$H8),(('Platform Cost Inputs'!$H8-Y$5)*'Platform Cost Inputs'!$J8),0))/Million</f>
        <v>0.2</v>
      </c>
      <c r="Z84" s="7">
        <f>(IF('Cost Calcs'!Z$5&gt;='Platform Cost Inputs'!$H8,'Platform Cost Inputs'!$J8,0)+IF(AND(Z$5&lt;'Platform Cost Inputs'!$H8,AA$5&gt;'Platform Cost Inputs'!$H8),(('Platform Cost Inputs'!$H8-Z$5)*'Platform Cost Inputs'!$J8),0))/Million</f>
        <v>0.2</v>
      </c>
      <c r="AA84" s="7"/>
      <c r="AB84" s="7"/>
      <c r="AC84" s="7"/>
      <c r="AD84" s="7"/>
      <c r="AE84" s="7"/>
      <c r="AF84" s="7"/>
      <c r="AG84" s="7"/>
      <c r="AH84" s="7"/>
      <c r="AI84" s="7"/>
      <c r="AJ84" s="7"/>
      <c r="AK84" s="7"/>
    </row>
    <row r="85" spans="1:37" ht="15.75" x14ac:dyDescent="0.25">
      <c r="A85" t="s">
        <v>95</v>
      </c>
      <c r="B85" t="s">
        <v>7</v>
      </c>
      <c r="C85" s="3" t="s">
        <v>9</v>
      </c>
      <c r="D85" s="24">
        <f t="shared" ref="D85:D94" si="103">SUMPRODUCT(G85:Z85,G$7:Z$7)</f>
        <v>1.3890692477619804</v>
      </c>
      <c r="E85" s="59">
        <f t="shared" si="78"/>
        <v>1.9220000000000006</v>
      </c>
      <c r="F85" s="59"/>
      <c r="G85" s="7">
        <f>(IF('Cost Calcs'!G$5&gt;='Platform Cost Inputs'!$H9,'Platform Cost Inputs'!$J9,0)+IF(AND(G$5&lt;'Platform Cost Inputs'!$H9,H$5&gt;'Platform Cost Inputs'!$H9),(('Platform Cost Inputs'!$H9-G$5)*'Platform Cost Inputs'!$J9),0))/Million</f>
        <v>0</v>
      </c>
      <c r="H85" s="7">
        <f>(IF('Cost Calcs'!H$5&gt;='Platform Cost Inputs'!$H9,'Platform Cost Inputs'!$J9,0)+IF(AND(H$5&lt;'Platform Cost Inputs'!$H9,I$5&gt;'Platform Cost Inputs'!$H9),(('Platform Cost Inputs'!$H9-H$5)*'Platform Cost Inputs'!$J9),0))/Million</f>
        <v>0</v>
      </c>
      <c r="I85" s="7">
        <f>(IF('Cost Calcs'!I$5&gt;='Platform Cost Inputs'!$H9,'Platform Cost Inputs'!$J9,0)+IF(AND(I$5&lt;'Platform Cost Inputs'!$H9,J$5&gt;'Platform Cost Inputs'!$H9),(('Platform Cost Inputs'!$H9-I$5)*'Platform Cost Inputs'!$J9),0))/Million</f>
        <v>0</v>
      </c>
      <c r="J85" s="7">
        <f>(IF('Cost Calcs'!J$5&gt;='Platform Cost Inputs'!$H9,'Platform Cost Inputs'!$J9,0)+IF(AND(J$5&lt;'Platform Cost Inputs'!$H9,K$5&gt;'Platform Cost Inputs'!$H9),(('Platform Cost Inputs'!$H9-J$5)*'Platform Cost Inputs'!$J9),0))/Million</f>
        <v>0</v>
      </c>
      <c r="K85" s="7">
        <f>(IF('Cost Calcs'!K$5&gt;='Platform Cost Inputs'!$H9,'Platform Cost Inputs'!$J9,0)+IF(AND(K$5&lt;'Platform Cost Inputs'!$H9,L$5&gt;'Platform Cost Inputs'!$H9),(('Platform Cost Inputs'!$H9-K$5)*'Platform Cost Inputs'!$J9),0))/Million</f>
        <v>6.2E-2</v>
      </c>
      <c r="L85" s="7">
        <f>(IF('Cost Calcs'!L$5&gt;='Platform Cost Inputs'!$H9,'Platform Cost Inputs'!$J9,0)+IF(AND(L$5&lt;'Platform Cost Inputs'!$H9,M$5&gt;'Platform Cost Inputs'!$H9),(('Platform Cost Inputs'!$H9-L$5)*'Platform Cost Inputs'!$J9),0))/Million</f>
        <v>0.124</v>
      </c>
      <c r="M85" s="7">
        <f>(IF('Cost Calcs'!M$5&gt;='Platform Cost Inputs'!$H9,'Platform Cost Inputs'!$J9,0)+IF(AND(M$5&lt;'Platform Cost Inputs'!$H9,N$5&gt;'Platform Cost Inputs'!$H9),(('Platform Cost Inputs'!$H9-M$5)*'Platform Cost Inputs'!$J9),0))/Million</f>
        <v>0.124</v>
      </c>
      <c r="N85" s="7">
        <f>(IF('Cost Calcs'!N$5&gt;='Platform Cost Inputs'!$H9,'Platform Cost Inputs'!$J9,0)+IF(AND(N$5&lt;'Platform Cost Inputs'!$H9,O$5&gt;'Platform Cost Inputs'!$H9),(('Platform Cost Inputs'!$H9-N$5)*'Platform Cost Inputs'!$J9),0))/Million</f>
        <v>0.124</v>
      </c>
      <c r="O85" s="7">
        <f>(IF('Cost Calcs'!O$5&gt;='Platform Cost Inputs'!$H9,'Platform Cost Inputs'!$J9,0)+IF(AND(O$5&lt;'Platform Cost Inputs'!$H9,P$5&gt;'Platform Cost Inputs'!$H9),(('Platform Cost Inputs'!$H9-O$5)*'Platform Cost Inputs'!$J9),0))/Million</f>
        <v>0.124</v>
      </c>
      <c r="P85" s="7">
        <f>(IF('Cost Calcs'!P$5&gt;='Platform Cost Inputs'!$H9,'Platform Cost Inputs'!$J9,0)+IF(AND(P$5&lt;'Platform Cost Inputs'!$H9,Q$5&gt;'Platform Cost Inputs'!$H9),(('Platform Cost Inputs'!$H9-P$5)*'Platform Cost Inputs'!$J9),0))/Million</f>
        <v>0.124</v>
      </c>
      <c r="Q85" s="7">
        <f>(IF('Cost Calcs'!Q$5&gt;='Platform Cost Inputs'!$H9,'Platform Cost Inputs'!$J9,0)+IF(AND(Q$5&lt;'Platform Cost Inputs'!$H9,R$5&gt;'Platform Cost Inputs'!$H9),(('Platform Cost Inputs'!$H9-Q$5)*'Platform Cost Inputs'!$J9),0))/Million</f>
        <v>0.124</v>
      </c>
      <c r="R85" s="7">
        <f>(IF('Cost Calcs'!R$5&gt;='Platform Cost Inputs'!$H9,'Platform Cost Inputs'!$J9,0)+IF(AND(R$5&lt;'Platform Cost Inputs'!$H9,S$5&gt;'Platform Cost Inputs'!$H9),(('Platform Cost Inputs'!$H9-R$5)*'Platform Cost Inputs'!$J9),0))/Million</f>
        <v>0.124</v>
      </c>
      <c r="S85" s="7">
        <f>(IF('Cost Calcs'!S$5&gt;='Platform Cost Inputs'!$H9,'Platform Cost Inputs'!$J9,0)+IF(AND(S$5&lt;'Platform Cost Inputs'!$H9,T$5&gt;'Platform Cost Inputs'!$H9),(('Platform Cost Inputs'!$H9-S$5)*'Platform Cost Inputs'!$J9),0))/Million</f>
        <v>0.124</v>
      </c>
      <c r="T85" s="7">
        <f>(IF('Cost Calcs'!T$5&gt;='Platform Cost Inputs'!$H9,'Platform Cost Inputs'!$J9,0)+IF(AND(T$5&lt;'Platform Cost Inputs'!$H9,U$5&gt;'Platform Cost Inputs'!$H9),(('Platform Cost Inputs'!$H9-T$5)*'Platform Cost Inputs'!$J9),0))/Million</f>
        <v>0.124</v>
      </c>
      <c r="U85" s="7">
        <f>(IF('Cost Calcs'!U$5&gt;='Platform Cost Inputs'!$H9,'Platform Cost Inputs'!$J9,0)+IF(AND(U$5&lt;'Platform Cost Inputs'!$H9,V$5&gt;'Platform Cost Inputs'!$H9),(('Platform Cost Inputs'!$H9-U$5)*'Platform Cost Inputs'!$J9),0))/Million</f>
        <v>0.124</v>
      </c>
      <c r="V85" s="7">
        <f>(IF('Cost Calcs'!V$5&gt;='Platform Cost Inputs'!$H9,'Platform Cost Inputs'!$J9,0)+IF(AND(V$5&lt;'Platform Cost Inputs'!$H9,W$5&gt;'Platform Cost Inputs'!$H9),(('Platform Cost Inputs'!$H9-V$5)*'Platform Cost Inputs'!$J9),0))/Million</f>
        <v>0.124</v>
      </c>
      <c r="W85" s="7">
        <f>(IF('Cost Calcs'!W$5&gt;='Platform Cost Inputs'!$H9,'Platform Cost Inputs'!$J9,0)+IF(AND(W$5&lt;'Platform Cost Inputs'!$H9,X$5&gt;'Platform Cost Inputs'!$H9),(('Platform Cost Inputs'!$H9-W$5)*'Platform Cost Inputs'!$J9),0))/Million</f>
        <v>0.124</v>
      </c>
      <c r="X85" s="7">
        <f>(IF('Cost Calcs'!X$5&gt;='Platform Cost Inputs'!$H9,'Platform Cost Inputs'!$J9,0)+IF(AND(X$5&lt;'Platform Cost Inputs'!$H9,Y$5&gt;'Platform Cost Inputs'!$H9),(('Platform Cost Inputs'!$H9-X$5)*'Platform Cost Inputs'!$J9),0))/Million</f>
        <v>0.124</v>
      </c>
      <c r="Y85" s="7">
        <f>(IF('Cost Calcs'!Y$5&gt;='Platform Cost Inputs'!$H9,'Platform Cost Inputs'!$J9,0)+IF(AND(Y$5&lt;'Platform Cost Inputs'!$H9,Z$5&gt;'Platform Cost Inputs'!$H9),(('Platform Cost Inputs'!$H9-Y$5)*'Platform Cost Inputs'!$J9),0))/Million</f>
        <v>0.124</v>
      </c>
      <c r="Z85" s="7">
        <f>(IF('Cost Calcs'!Z$5&gt;='Platform Cost Inputs'!$H9,'Platform Cost Inputs'!$J9,0)+IF(AND(Z$5&lt;'Platform Cost Inputs'!$H9,AA$5&gt;'Platform Cost Inputs'!$H9),(('Platform Cost Inputs'!$H9-Z$5)*'Platform Cost Inputs'!$J9),0))/Million</f>
        <v>0.124</v>
      </c>
      <c r="AA85" s="7"/>
      <c r="AB85" s="7"/>
      <c r="AC85" s="7"/>
      <c r="AD85" s="7"/>
      <c r="AE85" s="7"/>
      <c r="AF85" s="7"/>
      <c r="AG85" s="7"/>
      <c r="AH85" s="7"/>
      <c r="AI85" s="7"/>
      <c r="AJ85" s="7"/>
      <c r="AK85" s="7"/>
    </row>
    <row r="86" spans="1:37" ht="15.75" x14ac:dyDescent="0.25">
      <c r="A86" t="s">
        <v>101</v>
      </c>
      <c r="B86" t="s">
        <v>7</v>
      </c>
      <c r="C86" s="3" t="s">
        <v>9</v>
      </c>
      <c r="D86" s="24">
        <f t="shared" si="103"/>
        <v>2.2391002576709971</v>
      </c>
      <c r="E86" s="59">
        <f t="shared" si="78"/>
        <v>2.9879999999999995</v>
      </c>
      <c r="F86" s="59"/>
      <c r="G86" s="7">
        <f>(IF('Cost Calcs'!G$5&gt;='Platform Cost Inputs'!$H11,'Platform Cost Inputs'!$J11,0)+IF(AND(G$5&lt;'Platform Cost Inputs'!$H11,H$5&gt;'Platform Cost Inputs'!$H11),(('Platform Cost Inputs'!$H11-G$5)*'Platform Cost Inputs'!$J11),0))/Million</f>
        <v>0</v>
      </c>
      <c r="H86" s="7">
        <f>(IF('Cost Calcs'!H$5&gt;='Platform Cost Inputs'!$H11,'Platform Cost Inputs'!$J11,0)+IF(AND(H$5&lt;'Platform Cost Inputs'!$H11,I$5&gt;'Platform Cost Inputs'!$H11),(('Platform Cost Inputs'!$H11-H$5)*'Platform Cost Inputs'!$J11),0))/Million</f>
        <v>0</v>
      </c>
      <c r="I86" s="7">
        <f>(IF('Cost Calcs'!I$5&gt;='Platform Cost Inputs'!$H11,'Platform Cost Inputs'!$J11,0)+IF(AND(I$5&lt;'Platform Cost Inputs'!$H11,J$5&gt;'Platform Cost Inputs'!$H11),(('Platform Cost Inputs'!$H11-I$5)*'Platform Cost Inputs'!$J11),0))/Million</f>
        <v>0.16600000000000001</v>
      </c>
      <c r="J86" s="7">
        <f>(IF('Cost Calcs'!J$5&gt;='Platform Cost Inputs'!$H11,'Platform Cost Inputs'!$J11,0)+IF(AND(J$5&lt;'Platform Cost Inputs'!$H11,K$5&gt;'Platform Cost Inputs'!$H11),(('Platform Cost Inputs'!$H11-J$5)*'Platform Cost Inputs'!$J11),0))/Million</f>
        <v>0.16600000000000001</v>
      </c>
      <c r="K86" s="7">
        <f>(IF('Cost Calcs'!K$5&gt;='Platform Cost Inputs'!$H11,'Platform Cost Inputs'!$J11,0)+IF(AND(K$5&lt;'Platform Cost Inputs'!$H11,L$5&gt;'Platform Cost Inputs'!$H11),(('Platform Cost Inputs'!$H11-K$5)*'Platform Cost Inputs'!$J11),0))/Million</f>
        <v>0.16600000000000001</v>
      </c>
      <c r="L86" s="7">
        <f>(IF('Cost Calcs'!L$5&gt;='Platform Cost Inputs'!$H11,'Platform Cost Inputs'!$J11,0)+IF(AND(L$5&lt;'Platform Cost Inputs'!$H11,M$5&gt;'Platform Cost Inputs'!$H11),(('Platform Cost Inputs'!$H11-L$5)*'Platform Cost Inputs'!$J11),0))/Million</f>
        <v>0.16600000000000001</v>
      </c>
      <c r="M86" s="7">
        <f>(IF('Cost Calcs'!M$5&gt;='Platform Cost Inputs'!$H11,'Platform Cost Inputs'!$J11,0)+IF(AND(M$5&lt;'Platform Cost Inputs'!$H11,N$5&gt;'Platform Cost Inputs'!$H11),(('Platform Cost Inputs'!$H11-M$5)*'Platform Cost Inputs'!$J11),0))/Million</f>
        <v>0.16600000000000001</v>
      </c>
      <c r="N86" s="7">
        <f>(IF('Cost Calcs'!N$5&gt;='Platform Cost Inputs'!$H11,'Platform Cost Inputs'!$J11,0)+IF(AND(N$5&lt;'Platform Cost Inputs'!$H11,O$5&gt;'Platform Cost Inputs'!$H11),(('Platform Cost Inputs'!$H11-N$5)*'Platform Cost Inputs'!$J11),0))/Million</f>
        <v>0.16600000000000001</v>
      </c>
      <c r="O86" s="7">
        <f>(IF('Cost Calcs'!O$5&gt;='Platform Cost Inputs'!$H11,'Platform Cost Inputs'!$J11,0)+IF(AND(O$5&lt;'Platform Cost Inputs'!$H11,P$5&gt;'Platform Cost Inputs'!$H11),(('Platform Cost Inputs'!$H11-O$5)*'Platform Cost Inputs'!$J11),0))/Million</f>
        <v>0.16600000000000001</v>
      </c>
      <c r="P86" s="7">
        <f>(IF('Cost Calcs'!P$5&gt;='Platform Cost Inputs'!$H11,'Platform Cost Inputs'!$J11,0)+IF(AND(P$5&lt;'Platform Cost Inputs'!$H11,Q$5&gt;'Platform Cost Inputs'!$H11),(('Platform Cost Inputs'!$H11-P$5)*'Platform Cost Inputs'!$J11),0))/Million</f>
        <v>0.16600000000000001</v>
      </c>
      <c r="Q86" s="7">
        <f>(IF('Cost Calcs'!Q$5&gt;='Platform Cost Inputs'!$H11,'Platform Cost Inputs'!$J11,0)+IF(AND(Q$5&lt;'Platform Cost Inputs'!$H11,R$5&gt;'Platform Cost Inputs'!$H11),(('Platform Cost Inputs'!$H11-Q$5)*'Platform Cost Inputs'!$J11),0))/Million</f>
        <v>0.16600000000000001</v>
      </c>
      <c r="R86" s="7">
        <f>(IF('Cost Calcs'!R$5&gt;='Platform Cost Inputs'!$H11,'Platform Cost Inputs'!$J11,0)+IF(AND(R$5&lt;'Platform Cost Inputs'!$H11,S$5&gt;'Platform Cost Inputs'!$H11),(('Platform Cost Inputs'!$H11-R$5)*'Platform Cost Inputs'!$J11),0))/Million</f>
        <v>0.16600000000000001</v>
      </c>
      <c r="S86" s="7">
        <f>(IF('Cost Calcs'!S$5&gt;='Platform Cost Inputs'!$H11,'Platform Cost Inputs'!$J11,0)+IF(AND(S$5&lt;'Platform Cost Inputs'!$H11,T$5&gt;'Platform Cost Inputs'!$H11),(('Platform Cost Inputs'!$H11-S$5)*'Platform Cost Inputs'!$J11),0))/Million</f>
        <v>0.16600000000000001</v>
      </c>
      <c r="T86" s="7">
        <f>(IF('Cost Calcs'!T$5&gt;='Platform Cost Inputs'!$H11,'Platform Cost Inputs'!$J11,0)+IF(AND(T$5&lt;'Platform Cost Inputs'!$H11,U$5&gt;'Platform Cost Inputs'!$H11),(('Platform Cost Inputs'!$H11-T$5)*'Platform Cost Inputs'!$J11),0))/Million</f>
        <v>0.16600000000000001</v>
      </c>
      <c r="U86" s="7">
        <f>(IF('Cost Calcs'!U$5&gt;='Platform Cost Inputs'!$H11,'Platform Cost Inputs'!$J11,0)+IF(AND(U$5&lt;'Platform Cost Inputs'!$H11,V$5&gt;'Platform Cost Inputs'!$H11),(('Platform Cost Inputs'!$H11-U$5)*'Platform Cost Inputs'!$J11),0))/Million</f>
        <v>0.16600000000000001</v>
      </c>
      <c r="V86" s="7">
        <f>(IF('Cost Calcs'!V$5&gt;='Platform Cost Inputs'!$H11,'Platform Cost Inputs'!$J11,0)+IF(AND(V$5&lt;'Platform Cost Inputs'!$H11,W$5&gt;'Platform Cost Inputs'!$H11),(('Platform Cost Inputs'!$H11-V$5)*'Platform Cost Inputs'!$J11),0))/Million</f>
        <v>0.16600000000000001</v>
      </c>
      <c r="W86" s="7">
        <f>(IF('Cost Calcs'!W$5&gt;='Platform Cost Inputs'!$H11,'Platform Cost Inputs'!$J11,0)+IF(AND(W$5&lt;'Platform Cost Inputs'!$H11,X$5&gt;'Platform Cost Inputs'!$H11),(('Platform Cost Inputs'!$H11-W$5)*'Platform Cost Inputs'!$J11),0))/Million</f>
        <v>0.16600000000000001</v>
      </c>
      <c r="X86" s="7">
        <f>(IF('Cost Calcs'!X$5&gt;='Platform Cost Inputs'!$H11,'Platform Cost Inputs'!$J11,0)+IF(AND(X$5&lt;'Platform Cost Inputs'!$H11,Y$5&gt;'Platform Cost Inputs'!$H11),(('Platform Cost Inputs'!$H11-X$5)*'Platform Cost Inputs'!$J11),0))/Million</f>
        <v>0.16600000000000001</v>
      </c>
      <c r="Y86" s="7">
        <f>(IF('Cost Calcs'!Y$5&gt;='Platform Cost Inputs'!$H11,'Platform Cost Inputs'!$J11,0)+IF(AND(Y$5&lt;'Platform Cost Inputs'!$H11,Z$5&gt;'Platform Cost Inputs'!$H11),(('Platform Cost Inputs'!$H11-Y$5)*'Platform Cost Inputs'!$J11),0))/Million</f>
        <v>0.16600000000000001</v>
      </c>
      <c r="Z86" s="7">
        <f>(IF('Cost Calcs'!Z$5&gt;='Platform Cost Inputs'!$H11,'Platform Cost Inputs'!$J11,0)+IF(AND(Z$5&lt;'Platform Cost Inputs'!$H11,AA$5&gt;'Platform Cost Inputs'!$H11),(('Platform Cost Inputs'!$H11-Z$5)*'Platform Cost Inputs'!$J11),0))/Million</f>
        <v>0.16600000000000001</v>
      </c>
      <c r="AA86" s="7"/>
      <c r="AB86" s="7"/>
      <c r="AC86" s="7"/>
      <c r="AD86" s="7"/>
      <c r="AE86" s="7"/>
      <c r="AF86" s="7"/>
      <c r="AG86" s="7"/>
      <c r="AH86" s="7"/>
      <c r="AI86" s="7"/>
      <c r="AJ86" s="7"/>
      <c r="AK86" s="7"/>
    </row>
    <row r="87" spans="1:37" ht="15.75" x14ac:dyDescent="0.25">
      <c r="A87" t="s">
        <v>102</v>
      </c>
      <c r="B87" t="s">
        <v>7</v>
      </c>
      <c r="C87" s="3" t="s">
        <v>9</v>
      </c>
      <c r="D87" s="24">
        <f t="shared" si="103"/>
        <v>2.8897359221579926</v>
      </c>
      <c r="E87" s="59">
        <f t="shared" si="78"/>
        <v>3.8000000000000012</v>
      </c>
      <c r="F87" s="59"/>
      <c r="G87" s="7">
        <f>(IF('Cost Calcs'!G$5&gt;='Platform Cost Inputs'!$H12,'Platform Cost Inputs'!$J12,0)+IF(AND(G$5&lt;'Platform Cost Inputs'!$H12,H$5&gt;'Platform Cost Inputs'!$H12),(('Platform Cost Inputs'!$H12-G$5)*'Platform Cost Inputs'!$J12),0))/Million</f>
        <v>0</v>
      </c>
      <c r="H87" s="7">
        <f>(IF('Cost Calcs'!H$5&gt;='Platform Cost Inputs'!$H12,'Platform Cost Inputs'!$J12,0)+IF(AND(H$5&lt;'Platform Cost Inputs'!$H12,I$5&gt;'Platform Cost Inputs'!$H12),(('Platform Cost Inputs'!$H12-H$5)*'Platform Cost Inputs'!$J12),0))/Million</f>
        <v>0.2</v>
      </c>
      <c r="I87" s="7">
        <f>(IF('Cost Calcs'!I$5&gt;='Platform Cost Inputs'!$H12,'Platform Cost Inputs'!$J12,0)+IF(AND(I$5&lt;'Platform Cost Inputs'!$H12,J$5&gt;'Platform Cost Inputs'!$H12),(('Platform Cost Inputs'!$H12-I$5)*'Platform Cost Inputs'!$J12),0))/Million</f>
        <v>0.2</v>
      </c>
      <c r="J87" s="7">
        <f>(IF('Cost Calcs'!J$5&gt;='Platform Cost Inputs'!$H12,'Platform Cost Inputs'!$J12,0)+IF(AND(J$5&lt;'Platform Cost Inputs'!$H12,K$5&gt;'Platform Cost Inputs'!$H12),(('Platform Cost Inputs'!$H12-J$5)*'Platform Cost Inputs'!$J12),0))/Million</f>
        <v>0.2</v>
      </c>
      <c r="K87" s="7">
        <f>(IF('Cost Calcs'!K$5&gt;='Platform Cost Inputs'!$H12,'Platform Cost Inputs'!$J12,0)+IF(AND(K$5&lt;'Platform Cost Inputs'!$H12,L$5&gt;'Platform Cost Inputs'!$H12),(('Platform Cost Inputs'!$H12-K$5)*'Platform Cost Inputs'!$J12),0))/Million</f>
        <v>0.2</v>
      </c>
      <c r="L87" s="7">
        <f>(IF('Cost Calcs'!L$5&gt;='Platform Cost Inputs'!$H12,'Platform Cost Inputs'!$J12,0)+IF(AND(L$5&lt;'Platform Cost Inputs'!$H12,M$5&gt;'Platform Cost Inputs'!$H12),(('Platform Cost Inputs'!$H12-L$5)*'Platform Cost Inputs'!$J12),0))/Million</f>
        <v>0.2</v>
      </c>
      <c r="M87" s="7">
        <f>(IF('Cost Calcs'!M$5&gt;='Platform Cost Inputs'!$H12,'Platform Cost Inputs'!$J12,0)+IF(AND(M$5&lt;'Platform Cost Inputs'!$H12,N$5&gt;'Platform Cost Inputs'!$H12),(('Platform Cost Inputs'!$H12-M$5)*'Platform Cost Inputs'!$J12),0))/Million</f>
        <v>0.2</v>
      </c>
      <c r="N87" s="7">
        <f>(IF('Cost Calcs'!N$5&gt;='Platform Cost Inputs'!$H12,'Platform Cost Inputs'!$J12,0)+IF(AND(N$5&lt;'Platform Cost Inputs'!$H12,O$5&gt;'Platform Cost Inputs'!$H12),(('Platform Cost Inputs'!$H12-N$5)*'Platform Cost Inputs'!$J12),0))/Million</f>
        <v>0.2</v>
      </c>
      <c r="O87" s="7">
        <f>(IF('Cost Calcs'!O$5&gt;='Platform Cost Inputs'!$H12,'Platform Cost Inputs'!$J12,0)+IF(AND(O$5&lt;'Platform Cost Inputs'!$H12,P$5&gt;'Platform Cost Inputs'!$H12),(('Platform Cost Inputs'!$H12-O$5)*'Platform Cost Inputs'!$J12),0))/Million</f>
        <v>0.2</v>
      </c>
      <c r="P87" s="7">
        <f>(IF('Cost Calcs'!P$5&gt;='Platform Cost Inputs'!$H12,'Platform Cost Inputs'!$J12,0)+IF(AND(P$5&lt;'Platform Cost Inputs'!$H12,Q$5&gt;'Platform Cost Inputs'!$H12),(('Platform Cost Inputs'!$H12-P$5)*'Platform Cost Inputs'!$J12),0))/Million</f>
        <v>0.2</v>
      </c>
      <c r="Q87" s="7">
        <f>(IF('Cost Calcs'!Q$5&gt;='Platform Cost Inputs'!$H12,'Platform Cost Inputs'!$J12,0)+IF(AND(Q$5&lt;'Platform Cost Inputs'!$H12,R$5&gt;'Platform Cost Inputs'!$H12),(('Platform Cost Inputs'!$H12-Q$5)*'Platform Cost Inputs'!$J12),0))/Million</f>
        <v>0.2</v>
      </c>
      <c r="R87" s="7">
        <f>(IF('Cost Calcs'!R$5&gt;='Platform Cost Inputs'!$H12,'Platform Cost Inputs'!$J12,0)+IF(AND(R$5&lt;'Platform Cost Inputs'!$H12,S$5&gt;'Platform Cost Inputs'!$H12),(('Platform Cost Inputs'!$H12-R$5)*'Platform Cost Inputs'!$J12),0))/Million</f>
        <v>0.2</v>
      </c>
      <c r="S87" s="7">
        <f>(IF('Cost Calcs'!S$5&gt;='Platform Cost Inputs'!$H12,'Platform Cost Inputs'!$J12,0)+IF(AND(S$5&lt;'Platform Cost Inputs'!$H12,T$5&gt;'Platform Cost Inputs'!$H12),(('Platform Cost Inputs'!$H12-S$5)*'Platform Cost Inputs'!$J12),0))/Million</f>
        <v>0.2</v>
      </c>
      <c r="T87" s="7">
        <f>(IF('Cost Calcs'!T$5&gt;='Platform Cost Inputs'!$H12,'Platform Cost Inputs'!$J12,0)+IF(AND(T$5&lt;'Platform Cost Inputs'!$H12,U$5&gt;'Platform Cost Inputs'!$H12),(('Platform Cost Inputs'!$H12-T$5)*'Platform Cost Inputs'!$J12),0))/Million</f>
        <v>0.2</v>
      </c>
      <c r="U87" s="7">
        <f>(IF('Cost Calcs'!U$5&gt;='Platform Cost Inputs'!$H12,'Platform Cost Inputs'!$J12,0)+IF(AND(U$5&lt;'Platform Cost Inputs'!$H12,V$5&gt;'Platform Cost Inputs'!$H12),(('Platform Cost Inputs'!$H12-U$5)*'Platform Cost Inputs'!$J12),0))/Million</f>
        <v>0.2</v>
      </c>
      <c r="V87" s="7">
        <f>(IF('Cost Calcs'!V$5&gt;='Platform Cost Inputs'!$H12,'Platform Cost Inputs'!$J12,0)+IF(AND(V$5&lt;'Platform Cost Inputs'!$H12,W$5&gt;'Platform Cost Inputs'!$H12),(('Platform Cost Inputs'!$H12-V$5)*'Platform Cost Inputs'!$J12),0))/Million</f>
        <v>0.2</v>
      </c>
      <c r="W87" s="7">
        <f>(IF('Cost Calcs'!W$5&gt;='Platform Cost Inputs'!$H12,'Platform Cost Inputs'!$J12,0)+IF(AND(W$5&lt;'Platform Cost Inputs'!$H12,X$5&gt;'Platform Cost Inputs'!$H12),(('Platform Cost Inputs'!$H12-W$5)*'Platform Cost Inputs'!$J12),0))/Million</f>
        <v>0.2</v>
      </c>
      <c r="X87" s="7">
        <f>(IF('Cost Calcs'!X$5&gt;='Platform Cost Inputs'!$H12,'Platform Cost Inputs'!$J12,0)+IF(AND(X$5&lt;'Platform Cost Inputs'!$H12,Y$5&gt;'Platform Cost Inputs'!$H12),(('Platform Cost Inputs'!$H12-X$5)*'Platform Cost Inputs'!$J12),0))/Million</f>
        <v>0.2</v>
      </c>
      <c r="Y87" s="7">
        <f>(IF('Cost Calcs'!Y$5&gt;='Platform Cost Inputs'!$H12,'Platform Cost Inputs'!$J12,0)+IF(AND(Y$5&lt;'Platform Cost Inputs'!$H12,Z$5&gt;'Platform Cost Inputs'!$H12),(('Platform Cost Inputs'!$H12-Y$5)*'Platform Cost Inputs'!$J12),0))/Million</f>
        <v>0.2</v>
      </c>
      <c r="Z87" s="7">
        <f>(IF('Cost Calcs'!Z$5&gt;='Platform Cost Inputs'!$H12,'Platform Cost Inputs'!$J12,0)+IF(AND(Z$5&lt;'Platform Cost Inputs'!$H12,AA$5&gt;'Platform Cost Inputs'!$H12),(('Platform Cost Inputs'!$H12-Z$5)*'Platform Cost Inputs'!$J12),0))/Million</f>
        <v>0.2</v>
      </c>
      <c r="AA87" s="7"/>
      <c r="AB87" s="7"/>
      <c r="AC87" s="7"/>
      <c r="AD87" s="7"/>
      <c r="AE87" s="7"/>
      <c r="AF87" s="7"/>
      <c r="AG87" s="7"/>
      <c r="AH87" s="7"/>
      <c r="AI87" s="7"/>
      <c r="AJ87" s="7"/>
      <c r="AK87" s="7"/>
    </row>
    <row r="88" spans="1:37" ht="15.75" x14ac:dyDescent="0.25">
      <c r="A88" t="s">
        <v>96</v>
      </c>
      <c r="B88" t="s">
        <v>7</v>
      </c>
      <c r="C88" s="3" t="s">
        <v>9</v>
      </c>
      <c r="D88" s="24">
        <f t="shared" si="103"/>
        <v>0.67442778845511953</v>
      </c>
      <c r="E88" s="59">
        <f t="shared" si="78"/>
        <v>0.90000000000000024</v>
      </c>
      <c r="F88" s="59"/>
      <c r="G88" s="7">
        <f>(IF('Cost Calcs'!G$5&gt;='Platform Cost Inputs'!$H13,'Platform Cost Inputs'!$J13,0)+IF(AND(G$5&lt;'Platform Cost Inputs'!$H13,H$5&gt;'Platform Cost Inputs'!$H13),(('Platform Cost Inputs'!$H13-G$5)*'Platform Cost Inputs'!$J13),0))/Million</f>
        <v>0</v>
      </c>
      <c r="H88" s="7">
        <f>(IF('Cost Calcs'!H$5&gt;='Platform Cost Inputs'!$H13,'Platform Cost Inputs'!$J13,0)+IF(AND(H$5&lt;'Platform Cost Inputs'!$H13,I$5&gt;'Platform Cost Inputs'!$H13),(('Platform Cost Inputs'!$H13-H$5)*'Platform Cost Inputs'!$J13),0))/Million</f>
        <v>0</v>
      </c>
      <c r="I88" s="7">
        <f>(IF('Cost Calcs'!I$5&gt;='Platform Cost Inputs'!$H13,'Platform Cost Inputs'!$J13,0)+IF(AND(I$5&lt;'Platform Cost Inputs'!$H13,J$5&gt;'Platform Cost Inputs'!$H13),(('Platform Cost Inputs'!$H13-I$5)*'Platform Cost Inputs'!$J13),0))/Million</f>
        <v>0.05</v>
      </c>
      <c r="J88" s="7">
        <f>(IF('Cost Calcs'!J$5&gt;='Platform Cost Inputs'!$H13,'Platform Cost Inputs'!$J13,0)+IF(AND(J$5&lt;'Platform Cost Inputs'!$H13,K$5&gt;'Platform Cost Inputs'!$H13),(('Platform Cost Inputs'!$H13-J$5)*'Platform Cost Inputs'!$J13),0))/Million</f>
        <v>0.05</v>
      </c>
      <c r="K88" s="7">
        <f>(IF('Cost Calcs'!K$5&gt;='Platform Cost Inputs'!$H13,'Platform Cost Inputs'!$J13,0)+IF(AND(K$5&lt;'Platform Cost Inputs'!$H13,L$5&gt;'Platform Cost Inputs'!$H13),(('Platform Cost Inputs'!$H13-K$5)*'Platform Cost Inputs'!$J13),0))/Million</f>
        <v>0.05</v>
      </c>
      <c r="L88" s="7">
        <f>(IF('Cost Calcs'!L$5&gt;='Platform Cost Inputs'!$H13,'Platform Cost Inputs'!$J13,0)+IF(AND(L$5&lt;'Platform Cost Inputs'!$H13,M$5&gt;'Platform Cost Inputs'!$H13),(('Platform Cost Inputs'!$H13-L$5)*'Platform Cost Inputs'!$J13),0))/Million</f>
        <v>0.05</v>
      </c>
      <c r="M88" s="7">
        <f>(IF('Cost Calcs'!M$5&gt;='Platform Cost Inputs'!$H13,'Platform Cost Inputs'!$J13,0)+IF(AND(M$5&lt;'Platform Cost Inputs'!$H13,N$5&gt;'Platform Cost Inputs'!$H13),(('Platform Cost Inputs'!$H13-M$5)*'Platform Cost Inputs'!$J13),0))/Million</f>
        <v>0.05</v>
      </c>
      <c r="N88" s="7">
        <f>(IF('Cost Calcs'!N$5&gt;='Platform Cost Inputs'!$H13,'Platform Cost Inputs'!$J13,0)+IF(AND(N$5&lt;'Platform Cost Inputs'!$H13,O$5&gt;'Platform Cost Inputs'!$H13),(('Platform Cost Inputs'!$H13-N$5)*'Platform Cost Inputs'!$J13),0))/Million</f>
        <v>0.05</v>
      </c>
      <c r="O88" s="7">
        <f>(IF('Cost Calcs'!O$5&gt;='Platform Cost Inputs'!$H13,'Platform Cost Inputs'!$J13,0)+IF(AND(O$5&lt;'Platform Cost Inputs'!$H13,P$5&gt;'Platform Cost Inputs'!$H13),(('Platform Cost Inputs'!$H13-O$5)*'Platform Cost Inputs'!$J13),0))/Million</f>
        <v>0.05</v>
      </c>
      <c r="P88" s="7">
        <f>(IF('Cost Calcs'!P$5&gt;='Platform Cost Inputs'!$H13,'Platform Cost Inputs'!$J13,0)+IF(AND(P$5&lt;'Platform Cost Inputs'!$H13,Q$5&gt;'Platform Cost Inputs'!$H13),(('Platform Cost Inputs'!$H13-P$5)*'Platform Cost Inputs'!$J13),0))/Million</f>
        <v>0.05</v>
      </c>
      <c r="Q88" s="7">
        <f>(IF('Cost Calcs'!Q$5&gt;='Platform Cost Inputs'!$H13,'Platform Cost Inputs'!$J13,0)+IF(AND(Q$5&lt;'Platform Cost Inputs'!$H13,R$5&gt;'Platform Cost Inputs'!$H13),(('Platform Cost Inputs'!$H13-Q$5)*'Platform Cost Inputs'!$J13),0))/Million</f>
        <v>0.05</v>
      </c>
      <c r="R88" s="7">
        <f>(IF('Cost Calcs'!R$5&gt;='Platform Cost Inputs'!$H13,'Platform Cost Inputs'!$J13,0)+IF(AND(R$5&lt;'Platform Cost Inputs'!$H13,S$5&gt;'Platform Cost Inputs'!$H13),(('Platform Cost Inputs'!$H13-R$5)*'Platform Cost Inputs'!$J13),0))/Million</f>
        <v>0.05</v>
      </c>
      <c r="S88" s="7">
        <f>(IF('Cost Calcs'!S$5&gt;='Platform Cost Inputs'!$H13,'Platform Cost Inputs'!$J13,0)+IF(AND(S$5&lt;'Platform Cost Inputs'!$H13,T$5&gt;'Platform Cost Inputs'!$H13),(('Platform Cost Inputs'!$H13-S$5)*'Platform Cost Inputs'!$J13),0))/Million</f>
        <v>0.05</v>
      </c>
      <c r="T88" s="7">
        <f>(IF('Cost Calcs'!T$5&gt;='Platform Cost Inputs'!$H13,'Platform Cost Inputs'!$J13,0)+IF(AND(T$5&lt;'Platform Cost Inputs'!$H13,U$5&gt;'Platform Cost Inputs'!$H13),(('Platform Cost Inputs'!$H13-T$5)*'Platform Cost Inputs'!$J13),0))/Million</f>
        <v>0.05</v>
      </c>
      <c r="U88" s="7">
        <f>(IF('Cost Calcs'!U$5&gt;='Platform Cost Inputs'!$H13,'Platform Cost Inputs'!$J13,0)+IF(AND(U$5&lt;'Platform Cost Inputs'!$H13,V$5&gt;'Platform Cost Inputs'!$H13),(('Platform Cost Inputs'!$H13-U$5)*'Platform Cost Inputs'!$J13),0))/Million</f>
        <v>0.05</v>
      </c>
      <c r="V88" s="7">
        <f>(IF('Cost Calcs'!V$5&gt;='Platform Cost Inputs'!$H13,'Platform Cost Inputs'!$J13,0)+IF(AND(V$5&lt;'Platform Cost Inputs'!$H13,W$5&gt;'Platform Cost Inputs'!$H13),(('Platform Cost Inputs'!$H13-V$5)*'Platform Cost Inputs'!$J13),0))/Million</f>
        <v>0.05</v>
      </c>
      <c r="W88" s="7">
        <f>(IF('Cost Calcs'!W$5&gt;='Platform Cost Inputs'!$H13,'Platform Cost Inputs'!$J13,0)+IF(AND(W$5&lt;'Platform Cost Inputs'!$H13,X$5&gt;'Platform Cost Inputs'!$H13),(('Platform Cost Inputs'!$H13-W$5)*'Platform Cost Inputs'!$J13),0))/Million</f>
        <v>0.05</v>
      </c>
      <c r="X88" s="7">
        <f>(IF('Cost Calcs'!X$5&gt;='Platform Cost Inputs'!$H13,'Platform Cost Inputs'!$J13,0)+IF(AND(X$5&lt;'Platform Cost Inputs'!$H13,Y$5&gt;'Platform Cost Inputs'!$H13),(('Platform Cost Inputs'!$H13-X$5)*'Platform Cost Inputs'!$J13),0))/Million</f>
        <v>0.05</v>
      </c>
      <c r="Y88" s="7">
        <f>(IF('Cost Calcs'!Y$5&gt;='Platform Cost Inputs'!$H13,'Platform Cost Inputs'!$J13,0)+IF(AND(Y$5&lt;'Platform Cost Inputs'!$H13,Z$5&gt;'Platform Cost Inputs'!$H13),(('Platform Cost Inputs'!$H13-Y$5)*'Platform Cost Inputs'!$J13),0))/Million</f>
        <v>0.05</v>
      </c>
      <c r="Z88" s="7">
        <f>(IF('Cost Calcs'!Z$5&gt;='Platform Cost Inputs'!$H13,'Platform Cost Inputs'!$J13,0)+IF(AND(Z$5&lt;'Platform Cost Inputs'!$H13,AA$5&gt;'Platform Cost Inputs'!$H13),(('Platform Cost Inputs'!$H13-Z$5)*'Platform Cost Inputs'!$J13),0))/Million</f>
        <v>0.05</v>
      </c>
      <c r="AA88" s="7"/>
      <c r="AB88" s="7"/>
      <c r="AC88" s="7"/>
      <c r="AD88" s="7"/>
      <c r="AE88" s="7"/>
      <c r="AF88" s="7"/>
      <c r="AG88" s="7"/>
      <c r="AH88" s="7"/>
      <c r="AI88" s="7"/>
      <c r="AJ88" s="7"/>
      <c r="AK88" s="7"/>
    </row>
    <row r="89" spans="1:37" ht="15.75" x14ac:dyDescent="0.25">
      <c r="A89" t="s">
        <v>319</v>
      </c>
      <c r="B89" t="s">
        <v>7</v>
      </c>
      <c r="C89" s="3" t="s">
        <v>9</v>
      </c>
      <c r="D89" s="24">
        <f t="shared" si="103"/>
        <v>0</v>
      </c>
      <c r="E89" s="59">
        <f t="shared" si="78"/>
        <v>0</v>
      </c>
      <c r="F89" s="59"/>
      <c r="G89" s="7">
        <f>(IF('Cost Calcs'!G$5&gt;='Platform Cost Inputs'!$H14,'Platform Cost Inputs'!$J14,0)+IF(AND(G$5&lt;'Platform Cost Inputs'!$H14,H$5&gt;'Platform Cost Inputs'!$H14),(('Platform Cost Inputs'!$H14-G$5)*'Platform Cost Inputs'!$J14),0))/Million</f>
        <v>0</v>
      </c>
      <c r="H89" s="7">
        <f>(IF('Cost Calcs'!H$5&gt;='Platform Cost Inputs'!$H14,'Platform Cost Inputs'!$J14,0)+IF(AND(H$5&lt;'Platform Cost Inputs'!$H14,I$5&gt;'Platform Cost Inputs'!$H14),(('Platform Cost Inputs'!$H14-H$5)*'Platform Cost Inputs'!$J14),0))/Million</f>
        <v>0</v>
      </c>
      <c r="I89" s="7">
        <f>(IF('Cost Calcs'!I$5&gt;='Platform Cost Inputs'!$H14,'Platform Cost Inputs'!$J14,0)+IF(AND(I$5&lt;'Platform Cost Inputs'!$H14,J$5&gt;'Platform Cost Inputs'!$H14),(('Platform Cost Inputs'!$H14-I$5)*'Platform Cost Inputs'!$J14),0))/Million</f>
        <v>0</v>
      </c>
      <c r="J89" s="7">
        <f>(IF('Cost Calcs'!J$5&gt;='Platform Cost Inputs'!$H14,'Platform Cost Inputs'!$J14,0)+IF(AND(J$5&lt;'Platform Cost Inputs'!$H14,K$5&gt;'Platform Cost Inputs'!$H14),(('Platform Cost Inputs'!$H14-J$5)*'Platform Cost Inputs'!$J14),0))/Million</f>
        <v>0</v>
      </c>
      <c r="K89" s="7">
        <f>(IF('Cost Calcs'!K$5&gt;='Platform Cost Inputs'!$H14,'Platform Cost Inputs'!$J14,0)+IF(AND(K$5&lt;'Platform Cost Inputs'!$H14,L$5&gt;'Platform Cost Inputs'!$H14),(('Platform Cost Inputs'!$H14-K$5)*'Platform Cost Inputs'!$J14),0))/Million</f>
        <v>0</v>
      </c>
      <c r="L89" s="7">
        <f>(IF('Cost Calcs'!L$5&gt;='Platform Cost Inputs'!$H14,'Platform Cost Inputs'!$J14,0)+IF(AND(L$5&lt;'Platform Cost Inputs'!$H14,M$5&gt;'Platform Cost Inputs'!$H14),(('Platform Cost Inputs'!$H14-L$5)*'Platform Cost Inputs'!$J14),0))/Million</f>
        <v>0</v>
      </c>
      <c r="M89" s="7">
        <f>(IF('Cost Calcs'!M$5&gt;='Platform Cost Inputs'!$H14,'Platform Cost Inputs'!$J14,0)+IF(AND(M$5&lt;'Platform Cost Inputs'!$H14,N$5&gt;'Platform Cost Inputs'!$H14),(('Platform Cost Inputs'!$H14-M$5)*'Platform Cost Inputs'!$J14),0))/Million</f>
        <v>0</v>
      </c>
      <c r="N89" s="7">
        <f>(IF('Cost Calcs'!N$5&gt;='Platform Cost Inputs'!$H14,'Platform Cost Inputs'!$J14,0)+IF(AND(N$5&lt;'Platform Cost Inputs'!$H14,O$5&gt;'Platform Cost Inputs'!$H14),(('Platform Cost Inputs'!$H14-N$5)*'Platform Cost Inputs'!$J14),0))/Million</f>
        <v>0</v>
      </c>
      <c r="O89" s="7">
        <f>(IF('Cost Calcs'!O$5&gt;='Platform Cost Inputs'!$H14,'Platform Cost Inputs'!$J14,0)+IF(AND(O$5&lt;'Platform Cost Inputs'!$H14,P$5&gt;'Platform Cost Inputs'!$H14),(('Platform Cost Inputs'!$H14-O$5)*'Platform Cost Inputs'!$J14),0))/Million</f>
        <v>0</v>
      </c>
      <c r="P89" s="7">
        <f>(IF('Cost Calcs'!P$5&gt;='Platform Cost Inputs'!$H14,'Platform Cost Inputs'!$J14,0)+IF(AND(P$5&lt;'Platform Cost Inputs'!$H14,Q$5&gt;'Platform Cost Inputs'!$H14),(('Platform Cost Inputs'!$H14-P$5)*'Platform Cost Inputs'!$J14),0))/Million</f>
        <v>0</v>
      </c>
      <c r="Q89" s="7">
        <f>(IF('Cost Calcs'!Q$5&gt;='Platform Cost Inputs'!$H14,'Platform Cost Inputs'!$J14,0)+IF(AND(Q$5&lt;'Platform Cost Inputs'!$H14,R$5&gt;'Platform Cost Inputs'!$H14),(('Platform Cost Inputs'!$H14-Q$5)*'Platform Cost Inputs'!$J14),0))/Million</f>
        <v>0</v>
      </c>
      <c r="R89" s="7">
        <f>(IF('Cost Calcs'!R$5&gt;='Platform Cost Inputs'!$H14,'Platform Cost Inputs'!$J14,0)+IF(AND(R$5&lt;'Platform Cost Inputs'!$H14,S$5&gt;'Platform Cost Inputs'!$H14),(('Platform Cost Inputs'!$H14-R$5)*'Platform Cost Inputs'!$J14),0))/Million</f>
        <v>0</v>
      </c>
      <c r="S89" s="7">
        <f>(IF('Cost Calcs'!S$5&gt;='Platform Cost Inputs'!$H14,'Platform Cost Inputs'!$J14,0)+IF(AND(S$5&lt;'Platform Cost Inputs'!$H14,T$5&gt;'Platform Cost Inputs'!$H14),(('Platform Cost Inputs'!$H14-S$5)*'Platform Cost Inputs'!$J14),0))/Million</f>
        <v>0</v>
      </c>
      <c r="T89" s="7">
        <f>(IF('Cost Calcs'!T$5&gt;='Platform Cost Inputs'!$H14,'Platform Cost Inputs'!$J14,0)+IF(AND(T$5&lt;'Platform Cost Inputs'!$H14,U$5&gt;'Platform Cost Inputs'!$H14),(('Platform Cost Inputs'!$H14-T$5)*'Platform Cost Inputs'!$J14),0))/Million</f>
        <v>0</v>
      </c>
      <c r="U89" s="7">
        <f>(IF('Cost Calcs'!U$5&gt;='Platform Cost Inputs'!$H14,'Platform Cost Inputs'!$J14,0)+IF(AND(U$5&lt;'Platform Cost Inputs'!$H14,V$5&gt;'Platform Cost Inputs'!$H14),(('Platform Cost Inputs'!$H14-U$5)*'Platform Cost Inputs'!$J14),0))/Million</f>
        <v>0</v>
      </c>
      <c r="V89" s="7">
        <f>(IF('Cost Calcs'!V$5&gt;='Platform Cost Inputs'!$H14,'Platform Cost Inputs'!$J14,0)+IF(AND(V$5&lt;'Platform Cost Inputs'!$H14,W$5&gt;'Platform Cost Inputs'!$H14),(('Platform Cost Inputs'!$H14-V$5)*'Platform Cost Inputs'!$J14),0))/Million</f>
        <v>0</v>
      </c>
      <c r="W89" s="7">
        <f>(IF('Cost Calcs'!W$5&gt;='Platform Cost Inputs'!$H14,'Platform Cost Inputs'!$J14,0)+IF(AND(W$5&lt;'Platform Cost Inputs'!$H14,X$5&gt;'Platform Cost Inputs'!$H14),(('Platform Cost Inputs'!$H14-W$5)*'Platform Cost Inputs'!$J14),0))/Million</f>
        <v>0</v>
      </c>
      <c r="X89" s="7">
        <f>(IF('Cost Calcs'!X$5&gt;='Platform Cost Inputs'!$H14,'Platform Cost Inputs'!$J14,0)+IF(AND(X$5&lt;'Platform Cost Inputs'!$H14,Y$5&gt;'Platform Cost Inputs'!$H14),(('Platform Cost Inputs'!$H14-X$5)*'Platform Cost Inputs'!$J14),0))/Million</f>
        <v>0</v>
      </c>
      <c r="Y89" s="7">
        <f>(IF('Cost Calcs'!Y$5&gt;='Platform Cost Inputs'!$H14,'Platform Cost Inputs'!$J14,0)+IF(AND(Y$5&lt;'Platform Cost Inputs'!$H14,Z$5&gt;'Platform Cost Inputs'!$H14),(('Platform Cost Inputs'!$H14-Y$5)*'Platform Cost Inputs'!$J14),0))/Million</f>
        <v>0</v>
      </c>
      <c r="Z89" s="7">
        <f>(IF('Cost Calcs'!Z$5&gt;='Platform Cost Inputs'!$H14,'Platform Cost Inputs'!$J14,0)+IF(AND(Z$5&lt;'Platform Cost Inputs'!$H14,AA$5&gt;'Platform Cost Inputs'!$H14),(('Platform Cost Inputs'!$H14-Z$5)*'Platform Cost Inputs'!$J14),0))/Million</f>
        <v>0</v>
      </c>
      <c r="AA89" s="7"/>
      <c r="AB89" s="7"/>
      <c r="AC89" s="7"/>
      <c r="AD89" s="7"/>
      <c r="AE89" s="7"/>
      <c r="AF89" s="7"/>
      <c r="AG89" s="7"/>
      <c r="AH89" s="7"/>
      <c r="AI89" s="7"/>
      <c r="AJ89" s="7"/>
      <c r="AK89" s="7"/>
    </row>
    <row r="90" spans="1:37" ht="15.75" x14ac:dyDescent="0.25">
      <c r="A90" t="s">
        <v>97</v>
      </c>
      <c r="B90" t="s">
        <v>7</v>
      </c>
      <c r="C90" s="3" t="s">
        <v>9</v>
      </c>
      <c r="D90" s="24">
        <f t="shared" si="103"/>
        <v>2.8325967115115023</v>
      </c>
      <c r="E90" s="59">
        <f t="shared" si="78"/>
        <v>3.78</v>
      </c>
      <c r="F90" s="59"/>
      <c r="G90" s="7">
        <f>(IF('Cost Calcs'!G$5&gt;='Platform Cost Inputs'!$H15,'Platform Cost Inputs'!$J15,0)+IF(AND(G$5&lt;'Platform Cost Inputs'!$H15,H$5&gt;'Platform Cost Inputs'!$H15),(('Platform Cost Inputs'!$H15-G$5)*'Platform Cost Inputs'!$J15),0))/Million</f>
        <v>0</v>
      </c>
      <c r="H90" s="7">
        <f>(IF('Cost Calcs'!H$5&gt;='Platform Cost Inputs'!$H15,'Platform Cost Inputs'!$J15,0)+IF(AND(H$5&lt;'Platform Cost Inputs'!$H15,I$5&gt;'Platform Cost Inputs'!$H15),(('Platform Cost Inputs'!$H15-H$5)*'Platform Cost Inputs'!$J15),0))/Million</f>
        <v>0</v>
      </c>
      <c r="I90" s="7">
        <f>(IF('Cost Calcs'!I$5&gt;='Platform Cost Inputs'!$H15,'Platform Cost Inputs'!$J15,0)+IF(AND(I$5&lt;'Platform Cost Inputs'!$H15,J$5&gt;'Platform Cost Inputs'!$H15),(('Platform Cost Inputs'!$H15-I$5)*'Platform Cost Inputs'!$J15),0))/Million</f>
        <v>0.21</v>
      </c>
      <c r="J90" s="7">
        <f>(IF('Cost Calcs'!J$5&gt;='Platform Cost Inputs'!$H15,'Platform Cost Inputs'!$J15,0)+IF(AND(J$5&lt;'Platform Cost Inputs'!$H15,K$5&gt;'Platform Cost Inputs'!$H15),(('Platform Cost Inputs'!$H15-J$5)*'Platform Cost Inputs'!$J15),0))/Million</f>
        <v>0.21</v>
      </c>
      <c r="K90" s="7">
        <f>(IF('Cost Calcs'!K$5&gt;='Platform Cost Inputs'!$H15,'Platform Cost Inputs'!$J15,0)+IF(AND(K$5&lt;'Platform Cost Inputs'!$H15,L$5&gt;'Platform Cost Inputs'!$H15),(('Platform Cost Inputs'!$H15-K$5)*'Platform Cost Inputs'!$J15),0))/Million</f>
        <v>0.21</v>
      </c>
      <c r="L90" s="7">
        <f>(IF('Cost Calcs'!L$5&gt;='Platform Cost Inputs'!$H15,'Platform Cost Inputs'!$J15,0)+IF(AND(L$5&lt;'Platform Cost Inputs'!$H15,M$5&gt;'Platform Cost Inputs'!$H15),(('Platform Cost Inputs'!$H15-L$5)*'Platform Cost Inputs'!$J15),0))/Million</f>
        <v>0.21</v>
      </c>
      <c r="M90" s="7">
        <f>(IF('Cost Calcs'!M$5&gt;='Platform Cost Inputs'!$H15,'Platform Cost Inputs'!$J15,0)+IF(AND(M$5&lt;'Platform Cost Inputs'!$H15,N$5&gt;'Platform Cost Inputs'!$H15),(('Platform Cost Inputs'!$H15-M$5)*'Platform Cost Inputs'!$J15),0))/Million</f>
        <v>0.21</v>
      </c>
      <c r="N90" s="7">
        <f>(IF('Cost Calcs'!N$5&gt;='Platform Cost Inputs'!$H15,'Platform Cost Inputs'!$J15,0)+IF(AND(N$5&lt;'Platform Cost Inputs'!$H15,O$5&gt;'Platform Cost Inputs'!$H15),(('Platform Cost Inputs'!$H15-N$5)*'Platform Cost Inputs'!$J15),0))/Million</f>
        <v>0.21</v>
      </c>
      <c r="O90" s="7">
        <f>(IF('Cost Calcs'!O$5&gt;='Platform Cost Inputs'!$H15,'Platform Cost Inputs'!$J15,0)+IF(AND(O$5&lt;'Platform Cost Inputs'!$H15,P$5&gt;'Platform Cost Inputs'!$H15),(('Platform Cost Inputs'!$H15-O$5)*'Platform Cost Inputs'!$J15),0))/Million</f>
        <v>0.21</v>
      </c>
      <c r="P90" s="7">
        <f>(IF('Cost Calcs'!P$5&gt;='Platform Cost Inputs'!$H15,'Platform Cost Inputs'!$J15,0)+IF(AND(P$5&lt;'Platform Cost Inputs'!$H15,Q$5&gt;'Platform Cost Inputs'!$H15),(('Platform Cost Inputs'!$H15-P$5)*'Platform Cost Inputs'!$J15),0))/Million</f>
        <v>0.21</v>
      </c>
      <c r="Q90" s="7">
        <f>(IF('Cost Calcs'!Q$5&gt;='Platform Cost Inputs'!$H15,'Platform Cost Inputs'!$J15,0)+IF(AND(Q$5&lt;'Platform Cost Inputs'!$H15,R$5&gt;'Platform Cost Inputs'!$H15),(('Platform Cost Inputs'!$H15-Q$5)*'Platform Cost Inputs'!$J15),0))/Million</f>
        <v>0.21</v>
      </c>
      <c r="R90" s="7">
        <f>(IF('Cost Calcs'!R$5&gt;='Platform Cost Inputs'!$H15,'Platform Cost Inputs'!$J15,0)+IF(AND(R$5&lt;'Platform Cost Inputs'!$H15,S$5&gt;'Platform Cost Inputs'!$H15),(('Platform Cost Inputs'!$H15-R$5)*'Platform Cost Inputs'!$J15),0))/Million</f>
        <v>0.21</v>
      </c>
      <c r="S90" s="7">
        <f>(IF('Cost Calcs'!S$5&gt;='Platform Cost Inputs'!$H15,'Platform Cost Inputs'!$J15,0)+IF(AND(S$5&lt;'Platform Cost Inputs'!$H15,T$5&gt;'Platform Cost Inputs'!$H15),(('Platform Cost Inputs'!$H15-S$5)*'Platform Cost Inputs'!$J15),0))/Million</f>
        <v>0.21</v>
      </c>
      <c r="T90" s="7">
        <f>(IF('Cost Calcs'!T$5&gt;='Platform Cost Inputs'!$H15,'Platform Cost Inputs'!$J15,0)+IF(AND(T$5&lt;'Platform Cost Inputs'!$H15,U$5&gt;'Platform Cost Inputs'!$H15),(('Platform Cost Inputs'!$H15-T$5)*'Platform Cost Inputs'!$J15),0))/Million</f>
        <v>0.21</v>
      </c>
      <c r="U90" s="7">
        <f>(IF('Cost Calcs'!U$5&gt;='Platform Cost Inputs'!$H15,'Platform Cost Inputs'!$J15,0)+IF(AND(U$5&lt;'Platform Cost Inputs'!$H15,V$5&gt;'Platform Cost Inputs'!$H15),(('Platform Cost Inputs'!$H15-U$5)*'Platform Cost Inputs'!$J15),0))/Million</f>
        <v>0.21</v>
      </c>
      <c r="V90" s="7">
        <f>(IF('Cost Calcs'!V$5&gt;='Platform Cost Inputs'!$H15,'Platform Cost Inputs'!$J15,0)+IF(AND(V$5&lt;'Platform Cost Inputs'!$H15,W$5&gt;'Platform Cost Inputs'!$H15),(('Platform Cost Inputs'!$H15-V$5)*'Platform Cost Inputs'!$J15),0))/Million</f>
        <v>0.21</v>
      </c>
      <c r="W90" s="7">
        <f>(IF('Cost Calcs'!W$5&gt;='Platform Cost Inputs'!$H15,'Platform Cost Inputs'!$J15,0)+IF(AND(W$5&lt;'Platform Cost Inputs'!$H15,X$5&gt;'Platform Cost Inputs'!$H15),(('Platform Cost Inputs'!$H15-W$5)*'Platform Cost Inputs'!$J15),0))/Million</f>
        <v>0.21</v>
      </c>
      <c r="X90" s="7">
        <f>(IF('Cost Calcs'!X$5&gt;='Platform Cost Inputs'!$H15,'Platform Cost Inputs'!$J15,0)+IF(AND(X$5&lt;'Platform Cost Inputs'!$H15,Y$5&gt;'Platform Cost Inputs'!$H15),(('Platform Cost Inputs'!$H15-X$5)*'Platform Cost Inputs'!$J15),0))/Million</f>
        <v>0.21</v>
      </c>
      <c r="Y90" s="7">
        <f>(IF('Cost Calcs'!Y$5&gt;='Platform Cost Inputs'!$H15,'Platform Cost Inputs'!$J15,0)+IF(AND(Y$5&lt;'Platform Cost Inputs'!$H15,Z$5&gt;'Platform Cost Inputs'!$H15),(('Platform Cost Inputs'!$H15-Y$5)*'Platform Cost Inputs'!$J15),0))/Million</f>
        <v>0.21</v>
      </c>
      <c r="Z90" s="7">
        <f>(IF('Cost Calcs'!Z$5&gt;='Platform Cost Inputs'!$H15,'Platform Cost Inputs'!$J15,0)+IF(AND(Z$5&lt;'Platform Cost Inputs'!$H15,AA$5&gt;'Platform Cost Inputs'!$H15),(('Platform Cost Inputs'!$H15-Z$5)*'Platform Cost Inputs'!$J15),0))/Million</f>
        <v>0.21</v>
      </c>
      <c r="AA90" s="7"/>
      <c r="AB90" s="7"/>
      <c r="AC90" s="7"/>
      <c r="AD90" s="7"/>
      <c r="AE90" s="7"/>
      <c r="AF90" s="7"/>
      <c r="AG90" s="7"/>
      <c r="AH90" s="7"/>
      <c r="AI90" s="7"/>
      <c r="AJ90" s="7"/>
      <c r="AK90" s="7"/>
    </row>
    <row r="91" spans="1:37" ht="15.75" x14ac:dyDescent="0.25">
      <c r="A91" t="s">
        <v>68</v>
      </c>
      <c r="B91" t="s">
        <v>7</v>
      </c>
      <c r="C91" s="3" t="s">
        <v>9</v>
      </c>
      <c r="D91" s="24">
        <f t="shared" si="103"/>
        <v>0.92900552177014095</v>
      </c>
      <c r="E91" s="59">
        <f t="shared" si="78"/>
        <v>1.258</v>
      </c>
      <c r="F91" s="59"/>
      <c r="G91" s="7">
        <f>(IF('Cost Calcs'!G$5&gt;='Platform Cost Inputs'!$H17,'Platform Cost Inputs'!$J17,0)+IF(AND(G$5&lt;'Platform Cost Inputs'!$H17,H$5&gt;'Platform Cost Inputs'!$H17),(('Platform Cost Inputs'!$H17-G$5)*'Platform Cost Inputs'!$J17),0))/Million</f>
        <v>0</v>
      </c>
      <c r="H91" s="7">
        <f>(IF('Cost Calcs'!H$5&gt;='Platform Cost Inputs'!$H17,'Platform Cost Inputs'!$J17,0)+IF(AND(H$5&lt;'Platform Cost Inputs'!$H17,I$5&gt;'Platform Cost Inputs'!$H17),(('Platform Cost Inputs'!$H17-H$5)*'Platform Cost Inputs'!$J17),0))/Million</f>
        <v>0</v>
      </c>
      <c r="I91" s="7">
        <f>(IF('Cost Calcs'!I$5&gt;='Platform Cost Inputs'!$H17,'Platform Cost Inputs'!$J17,0)+IF(AND(I$5&lt;'Platform Cost Inputs'!$H17,J$5&gt;'Platform Cost Inputs'!$H17),(('Platform Cost Inputs'!$H17-I$5)*'Platform Cost Inputs'!$J17),0))/Million</f>
        <v>0</v>
      </c>
      <c r="J91" s="7">
        <f>(IF('Cost Calcs'!J$5&gt;='Platform Cost Inputs'!$H17,'Platform Cost Inputs'!$J17,0)+IF(AND(J$5&lt;'Platform Cost Inputs'!$H17,K$5&gt;'Platform Cost Inputs'!$H17),(('Platform Cost Inputs'!$H17-J$5)*'Platform Cost Inputs'!$J17),0))/Million</f>
        <v>7.3999999999999996E-2</v>
      </c>
      <c r="K91" s="7">
        <f>(IF('Cost Calcs'!K$5&gt;='Platform Cost Inputs'!$H17,'Platform Cost Inputs'!$J17,0)+IF(AND(K$5&lt;'Platform Cost Inputs'!$H17,L$5&gt;'Platform Cost Inputs'!$H17),(('Platform Cost Inputs'!$H17-K$5)*'Platform Cost Inputs'!$J17),0))/Million</f>
        <v>7.3999999999999996E-2</v>
      </c>
      <c r="L91" s="7">
        <f>(IF('Cost Calcs'!L$5&gt;='Platform Cost Inputs'!$H17,'Platform Cost Inputs'!$J17,0)+IF(AND(L$5&lt;'Platform Cost Inputs'!$H17,M$5&gt;'Platform Cost Inputs'!$H17),(('Platform Cost Inputs'!$H17-L$5)*'Platform Cost Inputs'!$J17),0))/Million</f>
        <v>7.3999999999999996E-2</v>
      </c>
      <c r="M91" s="7">
        <f>(IF('Cost Calcs'!M$5&gt;='Platform Cost Inputs'!$H17,'Platform Cost Inputs'!$J17,0)+IF(AND(M$5&lt;'Platform Cost Inputs'!$H17,N$5&gt;'Platform Cost Inputs'!$H17),(('Platform Cost Inputs'!$H17-M$5)*'Platform Cost Inputs'!$J17),0))/Million</f>
        <v>7.3999999999999996E-2</v>
      </c>
      <c r="N91" s="7">
        <f>(IF('Cost Calcs'!N$5&gt;='Platform Cost Inputs'!$H17,'Platform Cost Inputs'!$J17,0)+IF(AND(N$5&lt;'Platform Cost Inputs'!$H17,O$5&gt;'Platform Cost Inputs'!$H17),(('Platform Cost Inputs'!$H17-N$5)*'Platform Cost Inputs'!$J17),0))/Million</f>
        <v>7.3999999999999996E-2</v>
      </c>
      <c r="O91" s="7">
        <f>(IF('Cost Calcs'!O$5&gt;='Platform Cost Inputs'!$H17,'Platform Cost Inputs'!$J17,0)+IF(AND(O$5&lt;'Platform Cost Inputs'!$H17,P$5&gt;'Platform Cost Inputs'!$H17),(('Platform Cost Inputs'!$H17-O$5)*'Platform Cost Inputs'!$J17),0))/Million</f>
        <v>7.3999999999999996E-2</v>
      </c>
      <c r="P91" s="7">
        <f>(IF('Cost Calcs'!P$5&gt;='Platform Cost Inputs'!$H17,'Platform Cost Inputs'!$J17,0)+IF(AND(P$5&lt;'Platform Cost Inputs'!$H17,Q$5&gt;'Platform Cost Inputs'!$H17),(('Platform Cost Inputs'!$H17-P$5)*'Platform Cost Inputs'!$J17),0))/Million</f>
        <v>7.3999999999999996E-2</v>
      </c>
      <c r="Q91" s="7">
        <f>(IF('Cost Calcs'!Q$5&gt;='Platform Cost Inputs'!$H17,'Platform Cost Inputs'!$J17,0)+IF(AND(Q$5&lt;'Platform Cost Inputs'!$H17,R$5&gt;'Platform Cost Inputs'!$H17),(('Platform Cost Inputs'!$H17-Q$5)*'Platform Cost Inputs'!$J17),0))/Million</f>
        <v>7.3999999999999996E-2</v>
      </c>
      <c r="R91" s="7">
        <f>(IF('Cost Calcs'!R$5&gt;='Platform Cost Inputs'!$H17,'Platform Cost Inputs'!$J17,0)+IF(AND(R$5&lt;'Platform Cost Inputs'!$H17,S$5&gt;'Platform Cost Inputs'!$H17),(('Platform Cost Inputs'!$H17-R$5)*'Platform Cost Inputs'!$J17),0))/Million</f>
        <v>7.3999999999999996E-2</v>
      </c>
      <c r="S91" s="7">
        <f>(IF('Cost Calcs'!S$5&gt;='Platform Cost Inputs'!$H17,'Platform Cost Inputs'!$J17,0)+IF(AND(S$5&lt;'Platform Cost Inputs'!$H17,T$5&gt;'Platform Cost Inputs'!$H17),(('Platform Cost Inputs'!$H17-S$5)*'Platform Cost Inputs'!$J17),0))/Million</f>
        <v>7.3999999999999996E-2</v>
      </c>
      <c r="T91" s="7">
        <f>(IF('Cost Calcs'!T$5&gt;='Platform Cost Inputs'!$H17,'Platform Cost Inputs'!$J17,0)+IF(AND(T$5&lt;'Platform Cost Inputs'!$H17,U$5&gt;'Platform Cost Inputs'!$H17),(('Platform Cost Inputs'!$H17-T$5)*'Platform Cost Inputs'!$J17),0))/Million</f>
        <v>7.3999999999999996E-2</v>
      </c>
      <c r="U91" s="7">
        <f>(IF('Cost Calcs'!U$5&gt;='Platform Cost Inputs'!$H17,'Platform Cost Inputs'!$J17,0)+IF(AND(U$5&lt;'Platform Cost Inputs'!$H17,V$5&gt;'Platform Cost Inputs'!$H17),(('Platform Cost Inputs'!$H17-U$5)*'Platform Cost Inputs'!$J17),0))/Million</f>
        <v>7.3999999999999996E-2</v>
      </c>
      <c r="V91" s="7">
        <f>(IF('Cost Calcs'!V$5&gt;='Platform Cost Inputs'!$H17,'Platform Cost Inputs'!$J17,0)+IF(AND(V$5&lt;'Platform Cost Inputs'!$H17,W$5&gt;'Platform Cost Inputs'!$H17),(('Platform Cost Inputs'!$H17-V$5)*'Platform Cost Inputs'!$J17),0))/Million</f>
        <v>7.3999999999999996E-2</v>
      </c>
      <c r="W91" s="7">
        <f>(IF('Cost Calcs'!W$5&gt;='Platform Cost Inputs'!$H17,'Platform Cost Inputs'!$J17,0)+IF(AND(W$5&lt;'Platform Cost Inputs'!$H17,X$5&gt;'Platform Cost Inputs'!$H17),(('Platform Cost Inputs'!$H17-W$5)*'Platform Cost Inputs'!$J17),0))/Million</f>
        <v>7.3999999999999996E-2</v>
      </c>
      <c r="X91" s="7">
        <f>(IF('Cost Calcs'!X$5&gt;='Platform Cost Inputs'!$H17,'Platform Cost Inputs'!$J17,0)+IF(AND(X$5&lt;'Platform Cost Inputs'!$H17,Y$5&gt;'Platform Cost Inputs'!$H17),(('Platform Cost Inputs'!$H17-X$5)*'Platform Cost Inputs'!$J17),0))/Million</f>
        <v>7.3999999999999996E-2</v>
      </c>
      <c r="Y91" s="7">
        <f>(IF('Cost Calcs'!Y$5&gt;='Platform Cost Inputs'!$H17,'Platform Cost Inputs'!$J17,0)+IF(AND(Y$5&lt;'Platform Cost Inputs'!$H17,Z$5&gt;'Platform Cost Inputs'!$H17),(('Platform Cost Inputs'!$H17-Y$5)*'Platform Cost Inputs'!$J17),0))/Million</f>
        <v>7.3999999999999996E-2</v>
      </c>
      <c r="Z91" s="7">
        <f>(IF('Cost Calcs'!Z$5&gt;='Platform Cost Inputs'!$H17,'Platform Cost Inputs'!$J17,0)+IF(AND(Z$5&lt;'Platform Cost Inputs'!$H17,AA$5&gt;'Platform Cost Inputs'!$H17),(('Platform Cost Inputs'!$H17-Z$5)*'Platform Cost Inputs'!$J17),0))/Million</f>
        <v>7.3999999999999996E-2</v>
      </c>
      <c r="AA91" s="7"/>
      <c r="AB91" s="7"/>
      <c r="AC91" s="7"/>
      <c r="AD91" s="7"/>
      <c r="AE91" s="7"/>
      <c r="AF91" s="7"/>
      <c r="AG91" s="7"/>
      <c r="AH91" s="7"/>
      <c r="AI91" s="7"/>
      <c r="AJ91" s="7"/>
      <c r="AK91" s="7"/>
    </row>
    <row r="92" spans="1:37" ht="15.75" x14ac:dyDescent="0.25">
      <c r="A92" t="s">
        <v>98</v>
      </c>
      <c r="B92" t="s">
        <v>7</v>
      </c>
      <c r="C92" s="3" t="s">
        <v>9</v>
      </c>
      <c r="D92" s="24">
        <f t="shared" si="103"/>
        <v>0</v>
      </c>
      <c r="E92" s="59">
        <f t="shared" si="78"/>
        <v>0</v>
      </c>
      <c r="F92" s="59"/>
      <c r="G92" s="7">
        <f>(IF('Cost Calcs'!G$5&gt;='Platform Cost Inputs'!$H18,'Platform Cost Inputs'!$J18,0)+IF(AND(G$5&lt;'Platform Cost Inputs'!$H18,H$5&gt;'Platform Cost Inputs'!$H18),(('Platform Cost Inputs'!$H18-G$5)*'Platform Cost Inputs'!$J18),0))/Million</f>
        <v>0</v>
      </c>
      <c r="H92" s="7">
        <f>(IF('Cost Calcs'!H$5&gt;='Platform Cost Inputs'!$H18,'Platform Cost Inputs'!$J18,0)+IF(AND(H$5&lt;'Platform Cost Inputs'!$H18,I$5&gt;'Platform Cost Inputs'!$H18),(('Platform Cost Inputs'!$H18-H$5)*'Platform Cost Inputs'!$J18),0))/Million</f>
        <v>0</v>
      </c>
      <c r="I92" s="7">
        <f>(IF('Cost Calcs'!I$5&gt;='Platform Cost Inputs'!$H18,'Platform Cost Inputs'!$J18,0)+IF(AND(I$5&lt;'Platform Cost Inputs'!$H18,J$5&gt;'Platform Cost Inputs'!$H18),(('Platform Cost Inputs'!$H18-I$5)*'Platform Cost Inputs'!$J18),0))/Million</f>
        <v>0</v>
      </c>
      <c r="J92" s="7">
        <f>(IF('Cost Calcs'!J$5&gt;='Platform Cost Inputs'!$H18,'Platform Cost Inputs'!$J18,0)+IF(AND(J$5&lt;'Platform Cost Inputs'!$H18,K$5&gt;'Platform Cost Inputs'!$H18),(('Platform Cost Inputs'!$H18-J$5)*'Platform Cost Inputs'!$J18),0))/Million</f>
        <v>0</v>
      </c>
      <c r="K92" s="7">
        <f>(IF('Cost Calcs'!K$5&gt;='Platform Cost Inputs'!$H18,'Platform Cost Inputs'!$J18,0)+IF(AND(K$5&lt;'Platform Cost Inputs'!$H18,L$5&gt;'Platform Cost Inputs'!$H18),(('Platform Cost Inputs'!$H18-K$5)*'Platform Cost Inputs'!$J18),0))/Million</f>
        <v>0</v>
      </c>
      <c r="L92" s="7">
        <f>(IF('Cost Calcs'!L$5&gt;='Platform Cost Inputs'!$H18,'Platform Cost Inputs'!$J18,0)+IF(AND(L$5&lt;'Platform Cost Inputs'!$H18,M$5&gt;'Platform Cost Inputs'!$H18),(('Platform Cost Inputs'!$H18-L$5)*'Platform Cost Inputs'!$J18),0))/Million</f>
        <v>0</v>
      </c>
      <c r="M92" s="7">
        <f>(IF('Cost Calcs'!M$5&gt;='Platform Cost Inputs'!$H18,'Platform Cost Inputs'!$J18,0)+IF(AND(M$5&lt;'Platform Cost Inputs'!$H18,N$5&gt;'Platform Cost Inputs'!$H18),(('Platform Cost Inputs'!$H18-M$5)*'Platform Cost Inputs'!$J18),0))/Million</f>
        <v>0</v>
      </c>
      <c r="N92" s="7">
        <f>(IF('Cost Calcs'!N$5&gt;='Platform Cost Inputs'!$H18,'Platform Cost Inputs'!$J18,0)+IF(AND(N$5&lt;'Platform Cost Inputs'!$H18,O$5&gt;'Platform Cost Inputs'!$H18),(('Platform Cost Inputs'!$H18-N$5)*'Platform Cost Inputs'!$J18),0))/Million</f>
        <v>0</v>
      </c>
      <c r="O92" s="7">
        <f>(IF('Cost Calcs'!O$5&gt;='Platform Cost Inputs'!$H18,'Platform Cost Inputs'!$J18,0)+IF(AND(O$5&lt;'Platform Cost Inputs'!$H18,P$5&gt;'Platform Cost Inputs'!$H18),(('Platform Cost Inputs'!$H18-O$5)*'Platform Cost Inputs'!$J18),0))/Million</f>
        <v>0</v>
      </c>
      <c r="P92" s="7">
        <f>(IF('Cost Calcs'!P$5&gt;='Platform Cost Inputs'!$H18,'Platform Cost Inputs'!$J18,0)+IF(AND(P$5&lt;'Platform Cost Inputs'!$H18,Q$5&gt;'Platform Cost Inputs'!$H18),(('Platform Cost Inputs'!$H18-P$5)*'Platform Cost Inputs'!$J18),0))/Million</f>
        <v>0</v>
      </c>
      <c r="Q92" s="7">
        <f>(IF('Cost Calcs'!Q$5&gt;='Platform Cost Inputs'!$H18,'Platform Cost Inputs'!$J18,0)+IF(AND(Q$5&lt;'Platform Cost Inputs'!$H18,R$5&gt;'Platform Cost Inputs'!$H18),(('Platform Cost Inputs'!$H18-Q$5)*'Platform Cost Inputs'!$J18),0))/Million</f>
        <v>0</v>
      </c>
      <c r="R92" s="7">
        <f>(IF('Cost Calcs'!R$5&gt;='Platform Cost Inputs'!$H18,'Platform Cost Inputs'!$J18,0)+IF(AND(R$5&lt;'Platform Cost Inputs'!$H18,S$5&gt;'Platform Cost Inputs'!$H18),(('Platform Cost Inputs'!$H18-R$5)*'Platform Cost Inputs'!$J18),0))/Million</f>
        <v>0</v>
      </c>
      <c r="S92" s="7">
        <f>(IF('Cost Calcs'!S$5&gt;='Platform Cost Inputs'!$H18,'Platform Cost Inputs'!$J18,0)+IF(AND(S$5&lt;'Platform Cost Inputs'!$H18,T$5&gt;'Platform Cost Inputs'!$H18),(('Platform Cost Inputs'!$H18-S$5)*'Platform Cost Inputs'!$J18),0))/Million</f>
        <v>0</v>
      </c>
      <c r="T92" s="7">
        <f>(IF('Cost Calcs'!T$5&gt;='Platform Cost Inputs'!$H18,'Platform Cost Inputs'!$J18,0)+IF(AND(T$5&lt;'Platform Cost Inputs'!$H18,U$5&gt;'Platform Cost Inputs'!$H18),(('Platform Cost Inputs'!$H18-T$5)*'Platform Cost Inputs'!$J18),0))/Million</f>
        <v>0</v>
      </c>
      <c r="U92" s="7">
        <f>(IF('Cost Calcs'!U$5&gt;='Platform Cost Inputs'!$H18,'Platform Cost Inputs'!$J18,0)+IF(AND(U$5&lt;'Platform Cost Inputs'!$H18,V$5&gt;'Platform Cost Inputs'!$H18),(('Platform Cost Inputs'!$H18-U$5)*'Platform Cost Inputs'!$J18),0))/Million</f>
        <v>0</v>
      </c>
      <c r="V92" s="7">
        <f>(IF('Cost Calcs'!V$5&gt;='Platform Cost Inputs'!$H18,'Platform Cost Inputs'!$J18,0)+IF(AND(V$5&lt;'Platform Cost Inputs'!$H18,W$5&gt;'Platform Cost Inputs'!$H18),(('Platform Cost Inputs'!$H18-V$5)*'Platform Cost Inputs'!$J18),0))/Million</f>
        <v>0</v>
      </c>
      <c r="W92" s="7">
        <f>(IF('Cost Calcs'!W$5&gt;='Platform Cost Inputs'!$H18,'Platform Cost Inputs'!$J18,0)+IF(AND(W$5&lt;'Platform Cost Inputs'!$H18,X$5&gt;'Platform Cost Inputs'!$H18),(('Platform Cost Inputs'!$H18-W$5)*'Platform Cost Inputs'!$J18),0))/Million</f>
        <v>0</v>
      </c>
      <c r="X92" s="7">
        <f>(IF('Cost Calcs'!X$5&gt;='Platform Cost Inputs'!$H18,'Platform Cost Inputs'!$J18,0)+IF(AND(X$5&lt;'Platform Cost Inputs'!$H18,Y$5&gt;'Platform Cost Inputs'!$H18),(('Platform Cost Inputs'!$H18-X$5)*'Platform Cost Inputs'!$J18),0))/Million</f>
        <v>0</v>
      </c>
      <c r="Y92" s="7">
        <f>(IF('Cost Calcs'!Y$5&gt;='Platform Cost Inputs'!$H18,'Platform Cost Inputs'!$J18,0)+IF(AND(Y$5&lt;'Platform Cost Inputs'!$H18,Z$5&gt;'Platform Cost Inputs'!$H18),(('Platform Cost Inputs'!$H18-Y$5)*'Platform Cost Inputs'!$J18),0))/Million</f>
        <v>0</v>
      </c>
      <c r="Z92" s="7">
        <f>(IF('Cost Calcs'!Z$5&gt;='Platform Cost Inputs'!$H18,'Platform Cost Inputs'!$J18,0)+IF(AND(Z$5&lt;'Platform Cost Inputs'!$H18,AA$5&gt;'Platform Cost Inputs'!$H18),(('Platform Cost Inputs'!$H18-Z$5)*'Platform Cost Inputs'!$J18),0))/Million</f>
        <v>0</v>
      </c>
      <c r="AA92" s="7"/>
      <c r="AB92" s="7"/>
      <c r="AC92" s="7"/>
      <c r="AD92" s="7"/>
      <c r="AE92" s="7"/>
      <c r="AF92" s="7"/>
      <c r="AG92" s="7"/>
      <c r="AH92" s="7"/>
      <c r="AI92" s="7"/>
      <c r="AJ92" s="7"/>
      <c r="AK92" s="7"/>
    </row>
    <row r="93" spans="1:37" ht="15.75" x14ac:dyDescent="0.25">
      <c r="A93" t="s">
        <v>320</v>
      </c>
      <c r="B93" t="s">
        <v>7</v>
      </c>
      <c r="C93" s="3" t="s">
        <v>9</v>
      </c>
      <c r="D93" s="24">
        <f t="shared" si="103"/>
        <v>0.92900552177014095</v>
      </c>
      <c r="E93" s="59">
        <f t="shared" si="78"/>
        <v>1.258</v>
      </c>
      <c r="F93" s="59"/>
      <c r="G93" s="7">
        <f>(IF('Cost Calcs'!G$5&gt;='Platform Cost Inputs'!$H20,'Platform Cost Inputs'!$J20,0)+IF(AND(G$5&lt;'Platform Cost Inputs'!$H20,H$5&gt;'Platform Cost Inputs'!$H20),(('Platform Cost Inputs'!$H20-G$5)*'Platform Cost Inputs'!$J20),0))/Million</f>
        <v>0</v>
      </c>
      <c r="H93" s="7">
        <f>(IF('Cost Calcs'!H$5&gt;='Platform Cost Inputs'!$H20,'Platform Cost Inputs'!$J20,0)+IF(AND(H$5&lt;'Platform Cost Inputs'!$H20,I$5&gt;'Platform Cost Inputs'!$H20),(('Platform Cost Inputs'!$H20-H$5)*'Platform Cost Inputs'!$J20),0))/Million</f>
        <v>0</v>
      </c>
      <c r="I93" s="7">
        <f>(IF('Cost Calcs'!I$5&gt;='Platform Cost Inputs'!$H20,'Platform Cost Inputs'!$J20,0)+IF(AND(I$5&lt;'Platform Cost Inputs'!$H20,J$5&gt;'Platform Cost Inputs'!$H20),(('Platform Cost Inputs'!$H20-I$5)*'Platform Cost Inputs'!$J20),0))/Million</f>
        <v>0</v>
      </c>
      <c r="J93" s="7">
        <f>(IF('Cost Calcs'!J$5&gt;='Platform Cost Inputs'!$H20,'Platform Cost Inputs'!$J20,0)+IF(AND(J$5&lt;'Platform Cost Inputs'!$H20,K$5&gt;'Platform Cost Inputs'!$H20),(('Platform Cost Inputs'!$H20-J$5)*'Platform Cost Inputs'!$J20),0))/Million</f>
        <v>7.3999999999999996E-2</v>
      </c>
      <c r="K93" s="7">
        <f>(IF('Cost Calcs'!K$5&gt;='Platform Cost Inputs'!$H20,'Platform Cost Inputs'!$J20,0)+IF(AND(K$5&lt;'Platform Cost Inputs'!$H20,L$5&gt;'Platform Cost Inputs'!$H20),(('Platform Cost Inputs'!$H20-K$5)*'Platform Cost Inputs'!$J20),0))/Million</f>
        <v>7.3999999999999996E-2</v>
      </c>
      <c r="L93" s="7">
        <f>(IF('Cost Calcs'!L$5&gt;='Platform Cost Inputs'!$H20,'Platform Cost Inputs'!$J20,0)+IF(AND(L$5&lt;'Platform Cost Inputs'!$H20,M$5&gt;'Platform Cost Inputs'!$H20),(('Platform Cost Inputs'!$H20-L$5)*'Platform Cost Inputs'!$J20),0))/Million</f>
        <v>7.3999999999999996E-2</v>
      </c>
      <c r="M93" s="7">
        <f>(IF('Cost Calcs'!M$5&gt;='Platform Cost Inputs'!$H20,'Platform Cost Inputs'!$J20,0)+IF(AND(M$5&lt;'Platform Cost Inputs'!$H20,N$5&gt;'Platform Cost Inputs'!$H20),(('Platform Cost Inputs'!$H20-M$5)*'Platform Cost Inputs'!$J20),0))/Million</f>
        <v>7.3999999999999996E-2</v>
      </c>
      <c r="N93" s="7">
        <f>(IF('Cost Calcs'!N$5&gt;='Platform Cost Inputs'!$H20,'Platform Cost Inputs'!$J20,0)+IF(AND(N$5&lt;'Platform Cost Inputs'!$H20,O$5&gt;'Platform Cost Inputs'!$H20),(('Platform Cost Inputs'!$H20-N$5)*'Platform Cost Inputs'!$J20),0))/Million</f>
        <v>7.3999999999999996E-2</v>
      </c>
      <c r="O93" s="7">
        <f>(IF('Cost Calcs'!O$5&gt;='Platform Cost Inputs'!$H20,'Platform Cost Inputs'!$J20,0)+IF(AND(O$5&lt;'Platform Cost Inputs'!$H20,P$5&gt;'Platform Cost Inputs'!$H20),(('Platform Cost Inputs'!$H20-O$5)*'Platform Cost Inputs'!$J20),0))/Million</f>
        <v>7.3999999999999996E-2</v>
      </c>
      <c r="P93" s="7">
        <f>(IF('Cost Calcs'!P$5&gt;='Platform Cost Inputs'!$H20,'Platform Cost Inputs'!$J20,0)+IF(AND(P$5&lt;'Platform Cost Inputs'!$H20,Q$5&gt;'Platform Cost Inputs'!$H20),(('Platform Cost Inputs'!$H20-P$5)*'Platform Cost Inputs'!$J20),0))/Million</f>
        <v>7.3999999999999996E-2</v>
      </c>
      <c r="Q93" s="7">
        <f>(IF('Cost Calcs'!Q$5&gt;='Platform Cost Inputs'!$H20,'Platform Cost Inputs'!$J20,0)+IF(AND(Q$5&lt;'Platform Cost Inputs'!$H20,R$5&gt;'Platform Cost Inputs'!$H20),(('Platform Cost Inputs'!$H20-Q$5)*'Platform Cost Inputs'!$J20),0))/Million</f>
        <v>7.3999999999999996E-2</v>
      </c>
      <c r="R93" s="7">
        <f>(IF('Cost Calcs'!R$5&gt;='Platform Cost Inputs'!$H20,'Platform Cost Inputs'!$J20,0)+IF(AND(R$5&lt;'Platform Cost Inputs'!$H20,S$5&gt;'Platform Cost Inputs'!$H20),(('Platform Cost Inputs'!$H20-R$5)*'Platform Cost Inputs'!$J20),0))/Million</f>
        <v>7.3999999999999996E-2</v>
      </c>
      <c r="S93" s="7">
        <f>(IF('Cost Calcs'!S$5&gt;='Platform Cost Inputs'!$H20,'Platform Cost Inputs'!$J20,0)+IF(AND(S$5&lt;'Platform Cost Inputs'!$H20,T$5&gt;'Platform Cost Inputs'!$H20),(('Platform Cost Inputs'!$H20-S$5)*'Platform Cost Inputs'!$J20),0))/Million</f>
        <v>7.3999999999999996E-2</v>
      </c>
      <c r="T93" s="7">
        <f>(IF('Cost Calcs'!T$5&gt;='Platform Cost Inputs'!$H20,'Platform Cost Inputs'!$J20,0)+IF(AND(T$5&lt;'Platform Cost Inputs'!$H20,U$5&gt;'Platform Cost Inputs'!$H20),(('Platform Cost Inputs'!$H20-T$5)*'Platform Cost Inputs'!$J20),0))/Million</f>
        <v>7.3999999999999996E-2</v>
      </c>
      <c r="U93" s="7">
        <f>(IF('Cost Calcs'!U$5&gt;='Platform Cost Inputs'!$H20,'Platform Cost Inputs'!$J20,0)+IF(AND(U$5&lt;'Platform Cost Inputs'!$H20,V$5&gt;'Platform Cost Inputs'!$H20),(('Platform Cost Inputs'!$H20-U$5)*'Platform Cost Inputs'!$J20),0))/Million</f>
        <v>7.3999999999999996E-2</v>
      </c>
      <c r="V93" s="7">
        <f>(IF('Cost Calcs'!V$5&gt;='Platform Cost Inputs'!$H20,'Platform Cost Inputs'!$J20,0)+IF(AND(V$5&lt;'Platform Cost Inputs'!$H20,W$5&gt;'Platform Cost Inputs'!$H20),(('Platform Cost Inputs'!$H20-V$5)*'Platform Cost Inputs'!$J20),0))/Million</f>
        <v>7.3999999999999996E-2</v>
      </c>
      <c r="W93" s="7">
        <f>(IF('Cost Calcs'!W$5&gt;='Platform Cost Inputs'!$H20,'Platform Cost Inputs'!$J20,0)+IF(AND(W$5&lt;'Platform Cost Inputs'!$H20,X$5&gt;'Platform Cost Inputs'!$H20),(('Platform Cost Inputs'!$H20-W$5)*'Platform Cost Inputs'!$J20),0))/Million</f>
        <v>7.3999999999999996E-2</v>
      </c>
      <c r="X93" s="7">
        <f>(IF('Cost Calcs'!X$5&gt;='Platform Cost Inputs'!$H20,'Platform Cost Inputs'!$J20,0)+IF(AND(X$5&lt;'Platform Cost Inputs'!$H20,Y$5&gt;'Platform Cost Inputs'!$H20),(('Platform Cost Inputs'!$H20-X$5)*'Platform Cost Inputs'!$J20),0))/Million</f>
        <v>7.3999999999999996E-2</v>
      </c>
      <c r="Y93" s="7">
        <f>(IF('Cost Calcs'!Y$5&gt;='Platform Cost Inputs'!$H20,'Platform Cost Inputs'!$J20,0)+IF(AND(Y$5&lt;'Platform Cost Inputs'!$H20,Z$5&gt;'Platform Cost Inputs'!$H20),(('Platform Cost Inputs'!$H20-Y$5)*'Platform Cost Inputs'!$J20),0))/Million</f>
        <v>7.3999999999999996E-2</v>
      </c>
      <c r="Z93" s="7">
        <f>(IF('Cost Calcs'!Z$5&gt;='Platform Cost Inputs'!$H20,'Platform Cost Inputs'!$J20,0)+IF(AND(Z$5&lt;'Platform Cost Inputs'!$H20,AA$5&gt;'Platform Cost Inputs'!$H20),(('Platform Cost Inputs'!$H20-Z$5)*'Platform Cost Inputs'!$J20),0))/Million</f>
        <v>7.3999999999999996E-2</v>
      </c>
      <c r="AA93" s="7"/>
      <c r="AB93" s="7"/>
      <c r="AC93" s="7"/>
      <c r="AD93" s="7"/>
      <c r="AE93" s="7"/>
      <c r="AF93" s="7"/>
      <c r="AG93" s="7"/>
      <c r="AH93" s="7"/>
      <c r="AI93" s="7"/>
      <c r="AJ93" s="7"/>
      <c r="AK93" s="7"/>
    </row>
    <row r="94" spans="1:37" ht="15.75" x14ac:dyDescent="0.25">
      <c r="A94" t="s">
        <v>322</v>
      </c>
      <c r="B94" t="s">
        <v>7</v>
      </c>
      <c r="C94" s="3" t="s">
        <v>9</v>
      </c>
      <c r="D94" s="24">
        <f t="shared" si="103"/>
        <v>0.79621277777424604</v>
      </c>
      <c r="E94" s="59">
        <f t="shared" si="78"/>
        <v>1.1099999999999999</v>
      </c>
      <c r="F94" s="59"/>
      <c r="G94" s="7">
        <f>(IF('Cost Calcs'!G$5&gt;='Platform Cost Inputs'!$H21,'Platform Cost Inputs'!$J21,0)+IF(AND(G$5&lt;'Platform Cost Inputs'!$H21,H$5&gt;'Platform Cost Inputs'!$H21),(('Platform Cost Inputs'!$H21-G$5)*'Platform Cost Inputs'!$J21),0))/Million</f>
        <v>0</v>
      </c>
      <c r="H94" s="7">
        <f>(IF('Cost Calcs'!H$5&gt;='Platform Cost Inputs'!$H21,'Platform Cost Inputs'!$J21,0)+IF(AND(H$5&lt;'Platform Cost Inputs'!$H21,I$5&gt;'Platform Cost Inputs'!$H21),(('Platform Cost Inputs'!$H21-H$5)*'Platform Cost Inputs'!$J21),0))/Million</f>
        <v>0</v>
      </c>
      <c r="I94" s="7">
        <f>(IF('Cost Calcs'!I$5&gt;='Platform Cost Inputs'!$H21,'Platform Cost Inputs'!$J21,0)+IF(AND(I$5&lt;'Platform Cost Inputs'!$H21,J$5&gt;'Platform Cost Inputs'!$H21),(('Platform Cost Inputs'!$H21-I$5)*'Platform Cost Inputs'!$J21),0))/Million</f>
        <v>0</v>
      </c>
      <c r="J94" s="7">
        <f>(IF('Cost Calcs'!J$5&gt;='Platform Cost Inputs'!$H21,'Platform Cost Inputs'!$J21,0)+IF(AND(J$5&lt;'Platform Cost Inputs'!$H21,K$5&gt;'Platform Cost Inputs'!$H21),(('Platform Cost Inputs'!$H21-J$5)*'Platform Cost Inputs'!$J21),0))/Million</f>
        <v>0</v>
      </c>
      <c r="K94" s="7">
        <f>(IF('Cost Calcs'!K$5&gt;='Platform Cost Inputs'!$H21,'Platform Cost Inputs'!$J21,0)+IF(AND(K$5&lt;'Platform Cost Inputs'!$H21,L$5&gt;'Platform Cost Inputs'!$H21),(('Platform Cost Inputs'!$H21-K$5)*'Platform Cost Inputs'!$J21),0))/Million</f>
        <v>0</v>
      </c>
      <c r="L94" s="7">
        <f>(IF('Cost Calcs'!L$5&gt;='Platform Cost Inputs'!$H21,'Platform Cost Inputs'!$J21,0)+IF(AND(L$5&lt;'Platform Cost Inputs'!$H21,M$5&gt;'Platform Cost Inputs'!$H21),(('Platform Cost Inputs'!$H21-L$5)*'Platform Cost Inputs'!$J21),0))/Million</f>
        <v>7.3999999999999996E-2</v>
      </c>
      <c r="M94" s="7">
        <f>(IF('Cost Calcs'!M$5&gt;='Platform Cost Inputs'!$H21,'Platform Cost Inputs'!$J21,0)+IF(AND(M$5&lt;'Platform Cost Inputs'!$H21,N$5&gt;'Platform Cost Inputs'!$H21),(('Platform Cost Inputs'!$H21-M$5)*'Platform Cost Inputs'!$J21),0))/Million</f>
        <v>7.3999999999999996E-2</v>
      </c>
      <c r="N94" s="7">
        <f>(IF('Cost Calcs'!N$5&gt;='Platform Cost Inputs'!$H21,'Platform Cost Inputs'!$J21,0)+IF(AND(N$5&lt;'Platform Cost Inputs'!$H21,O$5&gt;'Platform Cost Inputs'!$H21),(('Platform Cost Inputs'!$H21-N$5)*'Platform Cost Inputs'!$J21),0))/Million</f>
        <v>7.3999999999999996E-2</v>
      </c>
      <c r="O94" s="7">
        <f>(IF('Cost Calcs'!O$5&gt;='Platform Cost Inputs'!$H21,'Platform Cost Inputs'!$J21,0)+IF(AND(O$5&lt;'Platform Cost Inputs'!$H21,P$5&gt;'Platform Cost Inputs'!$H21),(('Platform Cost Inputs'!$H21-O$5)*'Platform Cost Inputs'!$J21),0))/Million</f>
        <v>7.3999999999999996E-2</v>
      </c>
      <c r="P94" s="7">
        <f>(IF('Cost Calcs'!P$5&gt;='Platform Cost Inputs'!$H21,'Platform Cost Inputs'!$J21,0)+IF(AND(P$5&lt;'Platform Cost Inputs'!$H21,Q$5&gt;'Platform Cost Inputs'!$H21),(('Platform Cost Inputs'!$H21-P$5)*'Platform Cost Inputs'!$J21),0))/Million</f>
        <v>7.3999999999999996E-2</v>
      </c>
      <c r="Q94" s="7">
        <f>(IF('Cost Calcs'!Q$5&gt;='Platform Cost Inputs'!$H21,'Platform Cost Inputs'!$J21,0)+IF(AND(Q$5&lt;'Platform Cost Inputs'!$H21,R$5&gt;'Platform Cost Inputs'!$H21),(('Platform Cost Inputs'!$H21-Q$5)*'Platform Cost Inputs'!$J21),0))/Million</f>
        <v>7.3999999999999996E-2</v>
      </c>
      <c r="R94" s="7">
        <f>(IF('Cost Calcs'!R$5&gt;='Platform Cost Inputs'!$H21,'Platform Cost Inputs'!$J21,0)+IF(AND(R$5&lt;'Platform Cost Inputs'!$H21,S$5&gt;'Platform Cost Inputs'!$H21),(('Platform Cost Inputs'!$H21-R$5)*'Platform Cost Inputs'!$J21),0))/Million</f>
        <v>7.3999999999999996E-2</v>
      </c>
      <c r="S94" s="7">
        <f>(IF('Cost Calcs'!S$5&gt;='Platform Cost Inputs'!$H21,'Platform Cost Inputs'!$J21,0)+IF(AND(S$5&lt;'Platform Cost Inputs'!$H21,T$5&gt;'Platform Cost Inputs'!$H21),(('Platform Cost Inputs'!$H21-S$5)*'Platform Cost Inputs'!$J21),0))/Million</f>
        <v>7.3999999999999996E-2</v>
      </c>
      <c r="T94" s="7">
        <f>(IF('Cost Calcs'!T$5&gt;='Platform Cost Inputs'!$H21,'Platform Cost Inputs'!$J21,0)+IF(AND(T$5&lt;'Platform Cost Inputs'!$H21,U$5&gt;'Platform Cost Inputs'!$H21),(('Platform Cost Inputs'!$H21-T$5)*'Platform Cost Inputs'!$J21),0))/Million</f>
        <v>7.3999999999999996E-2</v>
      </c>
      <c r="U94" s="7">
        <f>(IF('Cost Calcs'!U$5&gt;='Platform Cost Inputs'!$H21,'Platform Cost Inputs'!$J21,0)+IF(AND(U$5&lt;'Platform Cost Inputs'!$H21,V$5&gt;'Platform Cost Inputs'!$H21),(('Platform Cost Inputs'!$H21-U$5)*'Platform Cost Inputs'!$J21),0))/Million</f>
        <v>7.3999999999999996E-2</v>
      </c>
      <c r="V94" s="7">
        <f>(IF('Cost Calcs'!V$5&gt;='Platform Cost Inputs'!$H21,'Platform Cost Inputs'!$J21,0)+IF(AND(V$5&lt;'Platform Cost Inputs'!$H21,W$5&gt;'Platform Cost Inputs'!$H21),(('Platform Cost Inputs'!$H21-V$5)*'Platform Cost Inputs'!$J21),0))/Million</f>
        <v>7.3999999999999996E-2</v>
      </c>
      <c r="W94" s="7">
        <f>(IF('Cost Calcs'!W$5&gt;='Platform Cost Inputs'!$H21,'Platform Cost Inputs'!$J21,0)+IF(AND(W$5&lt;'Platform Cost Inputs'!$H21,X$5&gt;'Platform Cost Inputs'!$H21),(('Platform Cost Inputs'!$H21-W$5)*'Platform Cost Inputs'!$J21),0))/Million</f>
        <v>7.3999999999999996E-2</v>
      </c>
      <c r="X94" s="7">
        <f>(IF('Cost Calcs'!X$5&gt;='Platform Cost Inputs'!$H21,'Platform Cost Inputs'!$J21,0)+IF(AND(X$5&lt;'Platform Cost Inputs'!$H21,Y$5&gt;'Platform Cost Inputs'!$H21),(('Platform Cost Inputs'!$H21-X$5)*'Platform Cost Inputs'!$J21),0))/Million</f>
        <v>7.3999999999999996E-2</v>
      </c>
      <c r="Y94" s="7">
        <f>(IF('Cost Calcs'!Y$5&gt;='Platform Cost Inputs'!$H21,'Platform Cost Inputs'!$J21,0)+IF(AND(Y$5&lt;'Platform Cost Inputs'!$H21,Z$5&gt;'Platform Cost Inputs'!$H21),(('Platform Cost Inputs'!$H21-Y$5)*'Platform Cost Inputs'!$J21),0))/Million</f>
        <v>7.3999999999999996E-2</v>
      </c>
      <c r="Z94" s="7">
        <f>(IF('Cost Calcs'!Z$5&gt;='Platform Cost Inputs'!$H21,'Platform Cost Inputs'!$J21,0)+IF(AND(Z$5&lt;'Platform Cost Inputs'!$H21,AA$5&gt;'Platform Cost Inputs'!$H21),(('Platform Cost Inputs'!$H21-Z$5)*'Platform Cost Inputs'!$J21),0))/Million</f>
        <v>7.3999999999999996E-2</v>
      </c>
      <c r="AA94" s="7"/>
      <c r="AB94" s="7"/>
      <c r="AC94" s="7"/>
      <c r="AD94" s="7"/>
      <c r="AE94" s="7"/>
      <c r="AF94" s="7"/>
      <c r="AG94" s="7"/>
      <c r="AH94" s="7"/>
      <c r="AI94" s="7"/>
      <c r="AJ94" s="7"/>
      <c r="AK94" s="7"/>
    </row>
    <row r="95" spans="1:37" s="1" customFormat="1" ht="15.75" x14ac:dyDescent="0.25">
      <c r="A95" s="211" t="s">
        <v>338</v>
      </c>
      <c r="B95" s="211" t="s">
        <v>7</v>
      </c>
      <c r="C95" s="212" t="str">
        <f>C94</f>
        <v>NPV</v>
      </c>
      <c r="D95" s="213">
        <f t="shared" ref="D95" si="104">SUM(D84:D94)</f>
        <v>15.472877286861353</v>
      </c>
      <c r="E95" s="214">
        <f>SUM(E84:E94)</f>
        <v>20.716000000000001</v>
      </c>
      <c r="F95" s="214"/>
      <c r="G95" s="215">
        <f t="shared" ref="G95" si="105">SUM(G84:G94)</f>
        <v>0</v>
      </c>
      <c r="H95" s="215">
        <f t="shared" ref="H95" si="106">SUM(H84:H94)</f>
        <v>0.30000000000000004</v>
      </c>
      <c r="I95" s="215">
        <f t="shared" ref="I95" si="107">SUM(I84:I94)</f>
        <v>0.82600000000000007</v>
      </c>
      <c r="J95" s="215">
        <f t="shared" ref="J95" si="108">SUM(J84:J94)</f>
        <v>0.97399999999999998</v>
      </c>
      <c r="K95" s="215">
        <f t="shared" ref="K95" si="109">SUM(K84:K94)</f>
        <v>1.036</v>
      </c>
      <c r="L95" s="215">
        <f t="shared" ref="L95" si="110">SUM(L84:L94)</f>
        <v>1.1720000000000002</v>
      </c>
      <c r="M95" s="215">
        <f t="shared" ref="M95" si="111">SUM(M84:M94)</f>
        <v>1.1720000000000002</v>
      </c>
      <c r="N95" s="215">
        <f t="shared" ref="N95" si="112">SUM(N84:N94)</f>
        <v>1.1720000000000002</v>
      </c>
      <c r="O95" s="215">
        <f t="shared" ref="O95" si="113">SUM(O84:O94)</f>
        <v>1.1720000000000002</v>
      </c>
      <c r="P95" s="215">
        <f t="shared" ref="P95" si="114">SUM(P84:P94)</f>
        <v>1.1720000000000002</v>
      </c>
      <c r="Q95" s="215">
        <f t="shared" ref="Q95" si="115">SUM(Q84:Q94)</f>
        <v>1.1720000000000002</v>
      </c>
      <c r="R95" s="215">
        <f t="shared" ref="R95" si="116">SUM(R84:R94)</f>
        <v>1.1720000000000002</v>
      </c>
      <c r="S95" s="215">
        <f t="shared" ref="S95" si="117">SUM(S84:S94)</f>
        <v>1.1720000000000002</v>
      </c>
      <c r="T95" s="215">
        <f t="shared" ref="T95" si="118">SUM(T84:T94)</f>
        <v>1.1720000000000002</v>
      </c>
      <c r="U95" s="215">
        <f t="shared" ref="U95" si="119">SUM(U84:U94)</f>
        <v>1.1720000000000002</v>
      </c>
      <c r="V95" s="215">
        <f t="shared" ref="V95" si="120">SUM(V84:V94)</f>
        <v>1.1720000000000002</v>
      </c>
      <c r="W95" s="215">
        <f t="shared" ref="W95" si="121">SUM(W84:W94)</f>
        <v>1.1720000000000002</v>
      </c>
      <c r="X95" s="215">
        <f t="shared" ref="X95" si="122">SUM(X84:X94)</f>
        <v>1.1720000000000002</v>
      </c>
      <c r="Y95" s="215">
        <f t="shared" ref="Y95" si="123">SUM(Y84:Y94)</f>
        <v>1.1720000000000002</v>
      </c>
      <c r="Z95" s="215">
        <f t="shared" ref="Z95" si="124">SUM(Z84:Z94)</f>
        <v>1.1720000000000002</v>
      </c>
    </row>
    <row r="96" spans="1:37" s="56" customFormat="1" ht="15.75" x14ac:dyDescent="0.25">
      <c r="C96" s="4"/>
      <c r="D96" s="25"/>
      <c r="E96" s="59"/>
      <c r="F96" s="59"/>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row>
    <row r="97" spans="1:26" x14ac:dyDescent="0.25">
      <c r="A97" s="1" t="s">
        <v>135</v>
      </c>
      <c r="E97" s="59"/>
      <c r="F97" s="59"/>
    </row>
    <row r="98" spans="1:26" ht="15.75" x14ac:dyDescent="0.25">
      <c r="A98" s="26" t="s">
        <v>93</v>
      </c>
      <c r="B98" t="s">
        <v>7</v>
      </c>
      <c r="C98" s="3" t="s">
        <v>9</v>
      </c>
      <c r="D98" s="24">
        <f ca="1">SUMPRODUCT(G98:Z98,G$7:Z$7)</f>
        <v>1.5601617725710706</v>
      </c>
      <c r="E98" s="59">
        <f t="shared" ca="1" si="78"/>
        <v>2.112063</v>
      </c>
      <c r="F98" s="59"/>
      <c r="G98" s="7">
        <f ca="1">(IF(G$6&gt;='Platform Cost Inputs'!$C$3,OFFSET('Cost Calcs'!G70,0,-'Platform Cost Inputs'!$C$3),0)+IF(G$6&gt;=('Platform Cost Inputs'!$C$3*2),OFFSET('Cost Calcs'!G70,0,(-'Platform Cost Inputs'!$C$3*2)),0)+IF(G$6&gt;=('Platform Cost Inputs'!$C$3*3),OFFSET('Cost Calcs'!G70,0,(-'Platform Cost Inputs'!$C$3*3)),0))*'Platform Cost Inputs'!$C$2</f>
        <v>0</v>
      </c>
      <c r="H98" s="7">
        <f ca="1">(IF(H$6&gt;='Platform Cost Inputs'!$C$3,OFFSET('Cost Calcs'!H70,0,-'Platform Cost Inputs'!$C$3),0)+IF(H$6&gt;=('Platform Cost Inputs'!$C$3*2),OFFSET('Cost Calcs'!H70,0,(-'Platform Cost Inputs'!$C$3*2)),0)+IF(H$6&gt;=('Platform Cost Inputs'!$C$3*3),OFFSET('Cost Calcs'!H70,0,(-'Platform Cost Inputs'!$C$3*3)),0))*'Platform Cost Inputs'!$C$2</f>
        <v>0</v>
      </c>
      <c r="I98" s="7">
        <f ca="1">(IF(I$6&gt;='Platform Cost Inputs'!$C$3,OFFSET('Cost Calcs'!I70,0,-'Platform Cost Inputs'!$C$3),0)+IF(I$6&gt;=('Platform Cost Inputs'!$C$3*2),OFFSET('Cost Calcs'!I70,0,(-'Platform Cost Inputs'!$C$3*2)),0)+IF(I$6&gt;=('Platform Cost Inputs'!$C$3*3),OFFSET('Cost Calcs'!I70,0,(-'Platform Cost Inputs'!$C$3*3)),0))*'Platform Cost Inputs'!$C$2</f>
        <v>0</v>
      </c>
      <c r="J98" s="7">
        <f ca="1">(IF(J$6&gt;='Platform Cost Inputs'!$C$3,OFFSET('Cost Calcs'!J70,0,-'Platform Cost Inputs'!$C$3),0)+IF(J$6&gt;=('Platform Cost Inputs'!$C$3*2),OFFSET('Cost Calcs'!J70,0,(-'Platform Cost Inputs'!$C$3*2)),0)+IF(J$6&gt;=('Platform Cost Inputs'!$C$3*3),OFFSET('Cost Calcs'!J70,0,(-'Platform Cost Inputs'!$C$3*3)),0))*'Platform Cost Inputs'!$C$2</f>
        <v>0</v>
      </c>
      <c r="K98" s="7">
        <f ca="1">(IF(K$6&gt;='Platform Cost Inputs'!$C$3,OFFSET('Cost Calcs'!K70,0,-'Platform Cost Inputs'!$C$3),0)+IF(K$6&gt;=('Platform Cost Inputs'!$C$3*2),OFFSET('Cost Calcs'!K70,0,(-'Platform Cost Inputs'!$C$3*2)),0)+IF(K$6&gt;=('Platform Cost Inputs'!$C$3*3),OFFSET('Cost Calcs'!K70,0,(-'Platform Cost Inputs'!$C$3*3)),0))*'Platform Cost Inputs'!$C$2</f>
        <v>0</v>
      </c>
      <c r="L98" s="7">
        <f ca="1">(IF(L$6&gt;='Platform Cost Inputs'!$C$3,OFFSET('Cost Calcs'!L70,0,-'Platform Cost Inputs'!$C$3),0)+IF(L$6&gt;=('Platform Cost Inputs'!$C$3*2),OFFSET('Cost Calcs'!L70,0,(-'Platform Cost Inputs'!$C$3*2)),0)+IF(L$6&gt;=('Platform Cost Inputs'!$C$3*3),OFFSET('Cost Calcs'!L70,0,(-'Platform Cost Inputs'!$C$3*3)),0))*'Platform Cost Inputs'!$C$2</f>
        <v>0</v>
      </c>
      <c r="M98" s="7">
        <f ca="1">(IF(M$6&gt;='Platform Cost Inputs'!$C$3,OFFSET('Cost Calcs'!M70,0,-'Platform Cost Inputs'!$C$3),0)+IF(M$6&gt;=('Platform Cost Inputs'!$C$3*2),OFFSET('Cost Calcs'!M70,0,(-'Platform Cost Inputs'!$C$3*2)),0)+IF(M$6&gt;=('Platform Cost Inputs'!$C$3*3),OFFSET('Cost Calcs'!M70,0,(-'Platform Cost Inputs'!$C$3*3)),0))*'Platform Cost Inputs'!$C$2</f>
        <v>0</v>
      </c>
      <c r="N98" s="7">
        <f ca="1">(IF(N$6&gt;='Platform Cost Inputs'!$C$3,OFFSET('Cost Calcs'!N70,0,-'Platform Cost Inputs'!$C$3),0)+IF(N$6&gt;=('Platform Cost Inputs'!$C$3*2),OFFSET('Cost Calcs'!N70,0,(-'Platform Cost Inputs'!$C$3*2)),0)+IF(N$6&gt;=('Platform Cost Inputs'!$C$3*3),OFFSET('Cost Calcs'!N70,0,(-'Platform Cost Inputs'!$C$3*3)),0))*'Platform Cost Inputs'!$C$2</f>
        <v>0.70402100000000001</v>
      </c>
      <c r="O98" s="7">
        <f ca="1">(IF(O$6&gt;='Platform Cost Inputs'!$C$3,OFFSET('Cost Calcs'!O70,0,-'Platform Cost Inputs'!$C$3),0)+IF(O$6&gt;=('Platform Cost Inputs'!$C$3*2),OFFSET('Cost Calcs'!O70,0,(-'Platform Cost Inputs'!$C$3*2)),0)+IF(O$6&gt;=('Platform Cost Inputs'!$C$3*3),OFFSET('Cost Calcs'!O70,0,(-'Platform Cost Inputs'!$C$3*3)),0))*'Platform Cost Inputs'!$C$2</f>
        <v>0.3520105</v>
      </c>
      <c r="P98" s="7">
        <f ca="1">(IF(P$6&gt;='Platform Cost Inputs'!$C$3,OFFSET('Cost Calcs'!P70,0,-'Platform Cost Inputs'!$C$3),0)+IF(P$6&gt;=('Platform Cost Inputs'!$C$3*2),OFFSET('Cost Calcs'!P70,0,(-'Platform Cost Inputs'!$C$3*2)),0)+IF(P$6&gt;=('Platform Cost Inputs'!$C$3*3),OFFSET('Cost Calcs'!P70,0,(-'Platform Cost Inputs'!$C$3*3)),0))*'Platform Cost Inputs'!$C$2</f>
        <v>0</v>
      </c>
      <c r="Q98" s="7">
        <f ca="1">(IF(Q$6&gt;='Platform Cost Inputs'!$C$3,OFFSET('Cost Calcs'!Q70,0,-'Platform Cost Inputs'!$C$3),0)+IF(Q$6&gt;=('Platform Cost Inputs'!$C$3*2),OFFSET('Cost Calcs'!Q70,0,(-'Platform Cost Inputs'!$C$3*2)),0)+IF(Q$6&gt;=('Platform Cost Inputs'!$C$3*3),OFFSET('Cost Calcs'!Q70,0,(-'Platform Cost Inputs'!$C$3*3)),0))*'Platform Cost Inputs'!$C$2</f>
        <v>0</v>
      </c>
      <c r="R98" s="7">
        <f ca="1">(IF(R$6&gt;='Platform Cost Inputs'!$C$3,OFFSET('Cost Calcs'!R70,0,-'Platform Cost Inputs'!$C$3),0)+IF(R$6&gt;=('Platform Cost Inputs'!$C$3*2),OFFSET('Cost Calcs'!R70,0,(-'Platform Cost Inputs'!$C$3*2)),0)+IF(R$6&gt;=('Platform Cost Inputs'!$C$3*3),OFFSET('Cost Calcs'!R70,0,(-'Platform Cost Inputs'!$C$3*3)),0))*'Platform Cost Inputs'!$C$2</f>
        <v>0</v>
      </c>
      <c r="S98" s="7">
        <f ca="1">(IF(S$6&gt;='Platform Cost Inputs'!$C$3,OFFSET('Cost Calcs'!S70,0,-'Platform Cost Inputs'!$C$3),0)+IF(S$6&gt;=('Platform Cost Inputs'!$C$3*2),OFFSET('Cost Calcs'!S70,0,(-'Platform Cost Inputs'!$C$3*2)),0)+IF(S$6&gt;=('Platform Cost Inputs'!$C$3*3),OFFSET('Cost Calcs'!S70,0,(-'Platform Cost Inputs'!$C$3*3)),0))*'Platform Cost Inputs'!$C$2</f>
        <v>0</v>
      </c>
      <c r="T98" s="7">
        <f ca="1">(IF(T$6&gt;='Platform Cost Inputs'!$C$3,OFFSET('Cost Calcs'!T70,0,-'Platform Cost Inputs'!$C$3),0)+IF(T$6&gt;=('Platform Cost Inputs'!$C$3*2),OFFSET('Cost Calcs'!T70,0,(-'Platform Cost Inputs'!$C$3*2)),0)+IF(T$6&gt;=('Platform Cost Inputs'!$C$3*3),OFFSET('Cost Calcs'!T70,0,(-'Platform Cost Inputs'!$C$3*3)),0))*'Platform Cost Inputs'!$C$2</f>
        <v>0</v>
      </c>
      <c r="U98" s="7">
        <f ca="1">(IF(U$6&gt;='Platform Cost Inputs'!$C$3,OFFSET('Cost Calcs'!U70,0,-'Platform Cost Inputs'!$C$3),0)+IF(U$6&gt;=('Platform Cost Inputs'!$C$3*2),OFFSET('Cost Calcs'!U70,0,(-'Platform Cost Inputs'!$C$3*2)),0)+IF(U$6&gt;=('Platform Cost Inputs'!$C$3*3),OFFSET('Cost Calcs'!U70,0,(-'Platform Cost Inputs'!$C$3*3)),0))*'Platform Cost Inputs'!$C$2</f>
        <v>0.70402100000000001</v>
      </c>
      <c r="V98" s="7">
        <f ca="1">(IF(V$6&gt;='Platform Cost Inputs'!$C$3,OFFSET('Cost Calcs'!V70,0,-'Platform Cost Inputs'!$C$3),0)+IF(V$6&gt;=('Platform Cost Inputs'!$C$3*2),OFFSET('Cost Calcs'!V70,0,(-'Platform Cost Inputs'!$C$3*2)),0)+IF(V$6&gt;=('Platform Cost Inputs'!$C$3*3),OFFSET('Cost Calcs'!V70,0,(-'Platform Cost Inputs'!$C$3*3)),0))*'Platform Cost Inputs'!$C$2</f>
        <v>0.3520105</v>
      </c>
      <c r="W98" s="7">
        <f ca="1">(IF(W$6&gt;='Platform Cost Inputs'!$C$3,OFFSET('Cost Calcs'!W70,0,-'Platform Cost Inputs'!$C$3),0)+IF(W$6&gt;=('Platform Cost Inputs'!$C$3*2),OFFSET('Cost Calcs'!W70,0,(-'Platform Cost Inputs'!$C$3*2)),0)+IF(W$6&gt;=('Platform Cost Inputs'!$C$3*3),OFFSET('Cost Calcs'!W70,0,(-'Platform Cost Inputs'!$C$3*3)),0))*'Platform Cost Inputs'!$C$2</f>
        <v>0</v>
      </c>
      <c r="X98" s="7">
        <f ca="1">(IF(X$6&gt;='Platform Cost Inputs'!$C$3,OFFSET('Cost Calcs'!X70,0,-'Platform Cost Inputs'!$C$3),0)+IF(X$6&gt;=('Platform Cost Inputs'!$C$3*2),OFFSET('Cost Calcs'!X70,0,(-'Platform Cost Inputs'!$C$3*2)),0)+IF(X$6&gt;=('Platform Cost Inputs'!$C$3*3),OFFSET('Cost Calcs'!X70,0,(-'Platform Cost Inputs'!$C$3*3)),0))*'Platform Cost Inputs'!$C$2</f>
        <v>0</v>
      </c>
      <c r="Y98" s="7">
        <f ca="1">(IF(Y$6&gt;='Platform Cost Inputs'!$C$3,OFFSET('Cost Calcs'!Y70,0,-'Platform Cost Inputs'!$C$3),0)+IF(Y$6&gt;=('Platform Cost Inputs'!$C$3*2),OFFSET('Cost Calcs'!Y70,0,(-'Platform Cost Inputs'!$C$3*2)),0)+IF(Y$6&gt;=('Platform Cost Inputs'!$C$3*3),OFFSET('Cost Calcs'!Y70,0,(-'Platform Cost Inputs'!$C$3*3)),0))*'Platform Cost Inputs'!$C$2</f>
        <v>0</v>
      </c>
      <c r="Z98" s="7">
        <f ca="1">(IF(Z$6&gt;='Platform Cost Inputs'!$C$3,OFFSET('Cost Calcs'!Z70,0,-'Platform Cost Inputs'!$C$3),0)+IF(Z$6&gt;=('Platform Cost Inputs'!$C$3*2),OFFSET('Cost Calcs'!Z70,0,(-'Platform Cost Inputs'!$C$3*2)),0)+IF(Z$6&gt;=('Platform Cost Inputs'!$C$3*3),OFFSET('Cost Calcs'!Z70,0,(-'Platform Cost Inputs'!$C$3*3)),0))*'Platform Cost Inputs'!$C$2</f>
        <v>0</v>
      </c>
    </row>
    <row r="99" spans="1:26" ht="15.75" x14ac:dyDescent="0.25">
      <c r="A99" t="s">
        <v>95</v>
      </c>
      <c r="B99" t="s">
        <v>7</v>
      </c>
      <c r="C99" s="3" t="s">
        <v>9</v>
      </c>
      <c r="D99" s="24">
        <f t="shared" ref="D99:D105" ca="1" si="125">SUMPRODUCT(G99:Z99,G$7:Z$7)</f>
        <v>3.610230915850992</v>
      </c>
      <c r="E99" s="59">
        <f t="shared" ca="1" si="78"/>
        <v>5.0798399999999999</v>
      </c>
      <c r="F99" s="59"/>
      <c r="G99" s="7">
        <f ca="1">(IF(G$6&gt;='Platform Cost Inputs'!$C$3,OFFSET('Cost Calcs'!G71,0,-'Platform Cost Inputs'!$C$3),0)+IF(G$6&gt;=('Platform Cost Inputs'!$C$3*2),OFFSET('Cost Calcs'!G71,0,(-'Platform Cost Inputs'!$C$3*2)),0)+IF(G$6&gt;=('Platform Cost Inputs'!$C$3*3),OFFSET('Cost Calcs'!G71,0,(-'Platform Cost Inputs'!$C$3*3)),0))*'Platform Cost Inputs'!$C$2</f>
        <v>0</v>
      </c>
      <c r="H99" s="7">
        <f ca="1">(IF(H$6&gt;='Platform Cost Inputs'!$C$3,OFFSET('Cost Calcs'!H71,0,-'Platform Cost Inputs'!$C$3),0)+IF(H$6&gt;=('Platform Cost Inputs'!$C$3*2),OFFSET('Cost Calcs'!H71,0,(-'Platform Cost Inputs'!$C$3*2)),0)+IF(H$6&gt;=('Platform Cost Inputs'!$C$3*3),OFFSET('Cost Calcs'!H71,0,(-'Platform Cost Inputs'!$C$3*3)),0))*'Platform Cost Inputs'!$C$2</f>
        <v>0</v>
      </c>
      <c r="I99" s="7">
        <f ca="1">(IF(I$6&gt;='Platform Cost Inputs'!$C$3,OFFSET('Cost Calcs'!I71,0,-'Platform Cost Inputs'!$C$3),0)+IF(I$6&gt;=('Platform Cost Inputs'!$C$3*2),OFFSET('Cost Calcs'!I71,0,(-'Platform Cost Inputs'!$C$3*2)),0)+IF(I$6&gt;=('Platform Cost Inputs'!$C$3*3),OFFSET('Cost Calcs'!I71,0,(-'Platform Cost Inputs'!$C$3*3)),0))*'Platform Cost Inputs'!$C$2</f>
        <v>0</v>
      </c>
      <c r="J99" s="7">
        <f ca="1">(IF(J$6&gt;='Platform Cost Inputs'!$C$3,OFFSET('Cost Calcs'!J71,0,-'Platform Cost Inputs'!$C$3),0)+IF(J$6&gt;=('Platform Cost Inputs'!$C$3*2),OFFSET('Cost Calcs'!J71,0,(-'Platform Cost Inputs'!$C$3*2)),0)+IF(J$6&gt;=('Platform Cost Inputs'!$C$3*3),OFFSET('Cost Calcs'!J71,0,(-'Platform Cost Inputs'!$C$3*3)),0))*'Platform Cost Inputs'!$C$2</f>
        <v>0</v>
      </c>
      <c r="K99" s="7">
        <f ca="1">(IF(K$6&gt;='Platform Cost Inputs'!$C$3,OFFSET('Cost Calcs'!K71,0,-'Platform Cost Inputs'!$C$3),0)+IF(K$6&gt;=('Platform Cost Inputs'!$C$3*2),OFFSET('Cost Calcs'!K71,0,(-'Platform Cost Inputs'!$C$3*2)),0)+IF(K$6&gt;=('Platform Cost Inputs'!$C$3*3),OFFSET('Cost Calcs'!K71,0,(-'Platform Cost Inputs'!$C$3*3)),0))*'Platform Cost Inputs'!$C$2</f>
        <v>0</v>
      </c>
      <c r="L99" s="7">
        <f ca="1">(IF(L$6&gt;='Platform Cost Inputs'!$C$3,OFFSET('Cost Calcs'!L71,0,-'Platform Cost Inputs'!$C$3),0)+IF(L$6&gt;=('Platform Cost Inputs'!$C$3*2),OFFSET('Cost Calcs'!L71,0,(-'Platform Cost Inputs'!$C$3*2)),0)+IF(L$6&gt;=('Platform Cost Inputs'!$C$3*3),OFFSET('Cost Calcs'!L71,0,(-'Platform Cost Inputs'!$C$3*3)),0))*'Platform Cost Inputs'!$C$2</f>
        <v>0</v>
      </c>
      <c r="M99" s="7">
        <f ca="1">(IF(M$6&gt;='Platform Cost Inputs'!$C$3,OFFSET('Cost Calcs'!M71,0,-'Platform Cost Inputs'!$C$3),0)+IF(M$6&gt;=('Platform Cost Inputs'!$C$3*2),OFFSET('Cost Calcs'!M71,0,(-'Platform Cost Inputs'!$C$3*2)),0)+IF(M$6&gt;=('Platform Cost Inputs'!$C$3*3),OFFSET('Cost Calcs'!M71,0,(-'Platform Cost Inputs'!$C$3*3)),0))*'Platform Cost Inputs'!$C$2</f>
        <v>0</v>
      </c>
      <c r="N99" s="7">
        <f ca="1">(IF(N$6&gt;='Platform Cost Inputs'!$C$3,OFFSET('Cost Calcs'!N71,0,-'Platform Cost Inputs'!$C$3),0)+IF(N$6&gt;=('Platform Cost Inputs'!$C$3*2),OFFSET('Cost Calcs'!N71,0,(-'Platform Cost Inputs'!$C$3*2)),0)+IF(N$6&gt;=('Platform Cost Inputs'!$C$3*3),OFFSET('Cost Calcs'!N71,0,(-'Platform Cost Inputs'!$C$3*3)),0))*'Platform Cost Inputs'!$C$2</f>
        <v>0.56442666666666663</v>
      </c>
      <c r="O99" s="7">
        <f ca="1">(IF(O$6&gt;='Platform Cost Inputs'!$C$3,OFFSET('Cost Calcs'!O71,0,-'Platform Cost Inputs'!$C$3),0)+IF(O$6&gt;=('Platform Cost Inputs'!$C$3*2),OFFSET('Cost Calcs'!O71,0,(-'Platform Cost Inputs'!$C$3*2)),0)+IF(O$6&gt;=('Platform Cost Inputs'!$C$3*3),OFFSET('Cost Calcs'!O71,0,(-'Platform Cost Inputs'!$C$3*3)),0))*'Platform Cost Inputs'!$C$2</f>
        <v>0.56442666666666663</v>
      </c>
      <c r="P99" s="7">
        <f ca="1">(IF(P$6&gt;='Platform Cost Inputs'!$C$3,OFFSET('Cost Calcs'!P71,0,-'Platform Cost Inputs'!$C$3),0)+IF(P$6&gt;=('Platform Cost Inputs'!$C$3*2),OFFSET('Cost Calcs'!P71,0,(-'Platform Cost Inputs'!$C$3*2)),0)+IF(P$6&gt;=('Platform Cost Inputs'!$C$3*3),OFFSET('Cost Calcs'!P71,0,(-'Platform Cost Inputs'!$C$3*3)),0))*'Platform Cost Inputs'!$C$2</f>
        <v>0.56442666666666663</v>
      </c>
      <c r="Q99" s="7">
        <f ca="1">(IF(Q$6&gt;='Platform Cost Inputs'!$C$3,OFFSET('Cost Calcs'!Q71,0,-'Platform Cost Inputs'!$C$3),0)+IF(Q$6&gt;=('Platform Cost Inputs'!$C$3*2),OFFSET('Cost Calcs'!Q71,0,(-'Platform Cost Inputs'!$C$3*2)),0)+IF(Q$6&gt;=('Platform Cost Inputs'!$C$3*3),OFFSET('Cost Calcs'!Q71,0,(-'Platform Cost Inputs'!$C$3*3)),0))*'Platform Cost Inputs'!$C$2</f>
        <v>0.56442666666666663</v>
      </c>
      <c r="R99" s="7">
        <f ca="1">(IF(R$6&gt;='Platform Cost Inputs'!$C$3,OFFSET('Cost Calcs'!R71,0,-'Platform Cost Inputs'!$C$3),0)+IF(R$6&gt;=('Platform Cost Inputs'!$C$3*2),OFFSET('Cost Calcs'!R71,0,(-'Platform Cost Inputs'!$C$3*2)),0)+IF(R$6&gt;=('Platform Cost Inputs'!$C$3*3),OFFSET('Cost Calcs'!R71,0,(-'Platform Cost Inputs'!$C$3*3)),0))*'Platform Cost Inputs'!$C$2</f>
        <v>0.28221333333333332</v>
      </c>
      <c r="S99" s="7">
        <f ca="1">(IF(S$6&gt;='Platform Cost Inputs'!$C$3,OFFSET('Cost Calcs'!S71,0,-'Platform Cost Inputs'!$C$3),0)+IF(S$6&gt;=('Platform Cost Inputs'!$C$3*2),OFFSET('Cost Calcs'!S71,0,(-'Platform Cost Inputs'!$C$3*2)),0)+IF(S$6&gt;=('Platform Cost Inputs'!$C$3*3),OFFSET('Cost Calcs'!S71,0,(-'Platform Cost Inputs'!$C$3*3)),0))*'Platform Cost Inputs'!$C$2</f>
        <v>0</v>
      </c>
      <c r="T99" s="7">
        <f ca="1">(IF(T$6&gt;='Platform Cost Inputs'!$C$3,OFFSET('Cost Calcs'!T71,0,-'Platform Cost Inputs'!$C$3),0)+IF(T$6&gt;=('Platform Cost Inputs'!$C$3*2),OFFSET('Cost Calcs'!T71,0,(-'Platform Cost Inputs'!$C$3*2)),0)+IF(T$6&gt;=('Platform Cost Inputs'!$C$3*3),OFFSET('Cost Calcs'!T71,0,(-'Platform Cost Inputs'!$C$3*3)),0))*'Platform Cost Inputs'!$C$2</f>
        <v>0</v>
      </c>
      <c r="U99" s="7">
        <f ca="1">(IF(U$6&gt;='Platform Cost Inputs'!$C$3,OFFSET('Cost Calcs'!U71,0,-'Platform Cost Inputs'!$C$3),0)+IF(U$6&gt;=('Platform Cost Inputs'!$C$3*2),OFFSET('Cost Calcs'!U71,0,(-'Platform Cost Inputs'!$C$3*2)),0)+IF(U$6&gt;=('Platform Cost Inputs'!$C$3*3),OFFSET('Cost Calcs'!U71,0,(-'Platform Cost Inputs'!$C$3*3)),0))*'Platform Cost Inputs'!$C$2</f>
        <v>0.56442666666666663</v>
      </c>
      <c r="V99" s="7">
        <f ca="1">(IF(V$6&gt;='Platform Cost Inputs'!$C$3,OFFSET('Cost Calcs'!V71,0,-'Platform Cost Inputs'!$C$3),0)+IF(V$6&gt;=('Platform Cost Inputs'!$C$3*2),OFFSET('Cost Calcs'!V71,0,(-'Platform Cost Inputs'!$C$3*2)),0)+IF(V$6&gt;=('Platform Cost Inputs'!$C$3*3),OFFSET('Cost Calcs'!V71,0,(-'Platform Cost Inputs'!$C$3*3)),0))*'Platform Cost Inputs'!$C$2</f>
        <v>0.56442666666666663</v>
      </c>
      <c r="W99" s="7">
        <f ca="1">(IF(W$6&gt;='Platform Cost Inputs'!$C$3,OFFSET('Cost Calcs'!W71,0,-'Platform Cost Inputs'!$C$3),0)+IF(W$6&gt;=('Platform Cost Inputs'!$C$3*2),OFFSET('Cost Calcs'!W71,0,(-'Platform Cost Inputs'!$C$3*2)),0)+IF(W$6&gt;=('Platform Cost Inputs'!$C$3*3),OFFSET('Cost Calcs'!W71,0,(-'Platform Cost Inputs'!$C$3*3)),0))*'Platform Cost Inputs'!$C$2</f>
        <v>0.56442666666666663</v>
      </c>
      <c r="X99" s="7">
        <f ca="1">(IF(X$6&gt;='Platform Cost Inputs'!$C$3,OFFSET('Cost Calcs'!X71,0,-'Platform Cost Inputs'!$C$3),0)+IF(X$6&gt;=('Platform Cost Inputs'!$C$3*2),OFFSET('Cost Calcs'!X71,0,(-'Platform Cost Inputs'!$C$3*2)),0)+IF(X$6&gt;=('Platform Cost Inputs'!$C$3*3),OFFSET('Cost Calcs'!X71,0,(-'Platform Cost Inputs'!$C$3*3)),0))*'Platform Cost Inputs'!$C$2</f>
        <v>0.56442666666666663</v>
      </c>
      <c r="Y99" s="7">
        <f ca="1">(IF(Y$6&gt;='Platform Cost Inputs'!$C$3,OFFSET('Cost Calcs'!Y71,0,-'Platform Cost Inputs'!$C$3),0)+IF(Y$6&gt;=('Platform Cost Inputs'!$C$3*2),OFFSET('Cost Calcs'!Y71,0,(-'Platform Cost Inputs'!$C$3*2)),0)+IF(Y$6&gt;=('Platform Cost Inputs'!$C$3*3),OFFSET('Cost Calcs'!Y71,0,(-'Platform Cost Inputs'!$C$3*3)),0))*'Platform Cost Inputs'!$C$2</f>
        <v>0.28221333333333332</v>
      </c>
      <c r="Z99" s="7">
        <f ca="1">(IF(Z$6&gt;='Platform Cost Inputs'!$C$3,OFFSET('Cost Calcs'!Z71,0,-'Platform Cost Inputs'!$C$3),0)+IF(Z$6&gt;=('Platform Cost Inputs'!$C$3*2),OFFSET('Cost Calcs'!Z71,0,(-'Platform Cost Inputs'!$C$3*2)),0)+IF(Z$6&gt;=('Platform Cost Inputs'!$C$3*3),OFFSET('Cost Calcs'!Z71,0,(-'Platform Cost Inputs'!$C$3*3)),0))*'Platform Cost Inputs'!$C$2</f>
        <v>0</v>
      </c>
    </row>
    <row r="100" spans="1:26" ht="15.75" x14ac:dyDescent="0.25">
      <c r="A100" t="s">
        <v>101</v>
      </c>
      <c r="B100" t="s">
        <v>7</v>
      </c>
      <c r="C100" s="3" t="s">
        <v>9</v>
      </c>
      <c r="D100" s="24">
        <f t="shared" ca="1" si="125"/>
        <v>0.8645512859569604</v>
      </c>
      <c r="E100" s="59">
        <f t="shared" ca="1" si="78"/>
        <v>1.19184</v>
      </c>
      <c r="F100" s="59"/>
      <c r="G100" s="7">
        <f ca="1">(IF(G$6&gt;='Platform Cost Inputs'!$C$3,OFFSET('Cost Calcs'!G72,0,-'Platform Cost Inputs'!$C$3),0)+IF(G$6&gt;=('Platform Cost Inputs'!$C$3*2),OFFSET('Cost Calcs'!G72,0,(-'Platform Cost Inputs'!$C$3*2)),0)+IF(G$6&gt;=('Platform Cost Inputs'!$C$3*3),OFFSET('Cost Calcs'!G72,0,(-'Platform Cost Inputs'!$C$3*3)),0))*'Platform Cost Inputs'!$C$2</f>
        <v>0</v>
      </c>
      <c r="H100" s="7">
        <f ca="1">(IF(H$6&gt;='Platform Cost Inputs'!$C$3,OFFSET('Cost Calcs'!H72,0,-'Platform Cost Inputs'!$C$3),0)+IF(H$6&gt;=('Platform Cost Inputs'!$C$3*2),OFFSET('Cost Calcs'!H72,0,(-'Platform Cost Inputs'!$C$3*2)),0)+IF(H$6&gt;=('Platform Cost Inputs'!$C$3*3),OFFSET('Cost Calcs'!H72,0,(-'Platform Cost Inputs'!$C$3*3)),0))*'Platform Cost Inputs'!$C$2</f>
        <v>0</v>
      </c>
      <c r="I100" s="7">
        <f ca="1">(IF(I$6&gt;='Platform Cost Inputs'!$C$3,OFFSET('Cost Calcs'!I72,0,-'Platform Cost Inputs'!$C$3),0)+IF(I$6&gt;=('Platform Cost Inputs'!$C$3*2),OFFSET('Cost Calcs'!I72,0,(-'Platform Cost Inputs'!$C$3*2)),0)+IF(I$6&gt;=('Platform Cost Inputs'!$C$3*3),OFFSET('Cost Calcs'!I72,0,(-'Platform Cost Inputs'!$C$3*3)),0))*'Platform Cost Inputs'!$C$2</f>
        <v>0</v>
      </c>
      <c r="J100" s="7">
        <f ca="1">(IF(J$6&gt;='Platform Cost Inputs'!$C$3,OFFSET('Cost Calcs'!J72,0,-'Platform Cost Inputs'!$C$3),0)+IF(J$6&gt;=('Platform Cost Inputs'!$C$3*2),OFFSET('Cost Calcs'!J72,0,(-'Platform Cost Inputs'!$C$3*2)),0)+IF(J$6&gt;=('Platform Cost Inputs'!$C$3*3),OFFSET('Cost Calcs'!J72,0,(-'Platform Cost Inputs'!$C$3*3)),0))*'Platform Cost Inputs'!$C$2</f>
        <v>0</v>
      </c>
      <c r="K100" s="7">
        <f ca="1">(IF(K$6&gt;='Platform Cost Inputs'!$C$3,OFFSET('Cost Calcs'!K72,0,-'Platform Cost Inputs'!$C$3),0)+IF(K$6&gt;=('Platform Cost Inputs'!$C$3*2),OFFSET('Cost Calcs'!K72,0,(-'Platform Cost Inputs'!$C$3*2)),0)+IF(K$6&gt;=('Platform Cost Inputs'!$C$3*3),OFFSET('Cost Calcs'!K72,0,(-'Platform Cost Inputs'!$C$3*3)),0))*'Platform Cost Inputs'!$C$2</f>
        <v>0</v>
      </c>
      <c r="L100" s="7">
        <f ca="1">(IF(L$6&gt;='Platform Cost Inputs'!$C$3,OFFSET('Cost Calcs'!L72,0,-'Platform Cost Inputs'!$C$3),0)+IF(L$6&gt;=('Platform Cost Inputs'!$C$3*2),OFFSET('Cost Calcs'!L72,0,(-'Platform Cost Inputs'!$C$3*2)),0)+IF(L$6&gt;=('Platform Cost Inputs'!$C$3*3),OFFSET('Cost Calcs'!L72,0,(-'Platform Cost Inputs'!$C$3*3)),0))*'Platform Cost Inputs'!$C$2</f>
        <v>0</v>
      </c>
      <c r="M100" s="7">
        <f ca="1">(IF(M$6&gt;='Platform Cost Inputs'!$C$3,OFFSET('Cost Calcs'!M72,0,-'Platform Cost Inputs'!$C$3),0)+IF(M$6&gt;=('Platform Cost Inputs'!$C$3*2),OFFSET('Cost Calcs'!M72,0,(-'Platform Cost Inputs'!$C$3*2)),0)+IF(M$6&gt;=('Platform Cost Inputs'!$C$3*3),OFFSET('Cost Calcs'!M72,0,(-'Platform Cost Inputs'!$C$3*3)),0))*'Platform Cost Inputs'!$C$2</f>
        <v>0</v>
      </c>
      <c r="N100" s="7">
        <f ca="1">(IF(N$6&gt;='Platform Cost Inputs'!$C$3,OFFSET('Cost Calcs'!N72,0,-'Platform Cost Inputs'!$C$3),0)+IF(N$6&gt;=('Platform Cost Inputs'!$C$3*2),OFFSET('Cost Calcs'!N72,0,(-'Platform Cost Inputs'!$C$3*2)),0)+IF(N$6&gt;=('Platform Cost Inputs'!$C$3*3),OFFSET('Cost Calcs'!N72,0,(-'Platform Cost Inputs'!$C$3*3)),0))*'Platform Cost Inputs'!$C$2</f>
        <v>0</v>
      </c>
      <c r="O100" s="7">
        <f ca="1">(IF(O$6&gt;='Platform Cost Inputs'!$C$3,OFFSET('Cost Calcs'!O72,0,-'Platform Cost Inputs'!$C$3),0)+IF(O$6&gt;=('Platform Cost Inputs'!$C$3*2),OFFSET('Cost Calcs'!O72,0,(-'Platform Cost Inputs'!$C$3*2)),0)+IF(O$6&gt;=('Platform Cost Inputs'!$C$3*3),OFFSET('Cost Calcs'!O72,0,(-'Platform Cost Inputs'!$C$3*3)),0))*'Platform Cost Inputs'!$C$2</f>
        <v>0.59592000000000001</v>
      </c>
      <c r="P100" s="7">
        <f ca="1">(IF(P$6&gt;='Platform Cost Inputs'!$C$3,OFFSET('Cost Calcs'!P72,0,-'Platform Cost Inputs'!$C$3),0)+IF(P$6&gt;=('Platform Cost Inputs'!$C$3*2),OFFSET('Cost Calcs'!P72,0,(-'Platform Cost Inputs'!$C$3*2)),0)+IF(P$6&gt;=('Platform Cost Inputs'!$C$3*3),OFFSET('Cost Calcs'!P72,0,(-'Platform Cost Inputs'!$C$3*3)),0))*'Platform Cost Inputs'!$C$2</f>
        <v>0</v>
      </c>
      <c r="Q100" s="7">
        <f ca="1">(IF(Q$6&gt;='Platform Cost Inputs'!$C$3,OFFSET('Cost Calcs'!Q72,0,-'Platform Cost Inputs'!$C$3),0)+IF(Q$6&gt;=('Platform Cost Inputs'!$C$3*2),OFFSET('Cost Calcs'!Q72,0,(-'Platform Cost Inputs'!$C$3*2)),0)+IF(Q$6&gt;=('Platform Cost Inputs'!$C$3*3),OFFSET('Cost Calcs'!Q72,0,(-'Platform Cost Inputs'!$C$3*3)),0))*'Platform Cost Inputs'!$C$2</f>
        <v>0</v>
      </c>
      <c r="R100" s="7">
        <f ca="1">(IF(R$6&gt;='Platform Cost Inputs'!$C$3,OFFSET('Cost Calcs'!R72,0,-'Platform Cost Inputs'!$C$3),0)+IF(R$6&gt;=('Platform Cost Inputs'!$C$3*2),OFFSET('Cost Calcs'!R72,0,(-'Platform Cost Inputs'!$C$3*2)),0)+IF(R$6&gt;=('Platform Cost Inputs'!$C$3*3),OFFSET('Cost Calcs'!R72,0,(-'Platform Cost Inputs'!$C$3*3)),0))*'Platform Cost Inputs'!$C$2</f>
        <v>0</v>
      </c>
      <c r="S100" s="7">
        <f ca="1">(IF(S$6&gt;='Platform Cost Inputs'!$C$3,OFFSET('Cost Calcs'!S72,0,-'Platform Cost Inputs'!$C$3),0)+IF(S$6&gt;=('Platform Cost Inputs'!$C$3*2),OFFSET('Cost Calcs'!S72,0,(-'Platform Cost Inputs'!$C$3*2)),0)+IF(S$6&gt;=('Platform Cost Inputs'!$C$3*3),OFFSET('Cost Calcs'!S72,0,(-'Platform Cost Inputs'!$C$3*3)),0))*'Platform Cost Inputs'!$C$2</f>
        <v>0</v>
      </c>
      <c r="T100" s="7">
        <f ca="1">(IF(T$6&gt;='Platform Cost Inputs'!$C$3,OFFSET('Cost Calcs'!T72,0,-'Platform Cost Inputs'!$C$3),0)+IF(T$6&gt;=('Platform Cost Inputs'!$C$3*2),OFFSET('Cost Calcs'!T72,0,(-'Platform Cost Inputs'!$C$3*2)),0)+IF(T$6&gt;=('Platform Cost Inputs'!$C$3*3),OFFSET('Cost Calcs'!T72,0,(-'Platform Cost Inputs'!$C$3*3)),0))*'Platform Cost Inputs'!$C$2</f>
        <v>0</v>
      </c>
      <c r="U100" s="7">
        <f ca="1">(IF(U$6&gt;='Platform Cost Inputs'!$C$3,OFFSET('Cost Calcs'!U72,0,-'Platform Cost Inputs'!$C$3),0)+IF(U$6&gt;=('Platform Cost Inputs'!$C$3*2),OFFSET('Cost Calcs'!U72,0,(-'Platform Cost Inputs'!$C$3*2)),0)+IF(U$6&gt;=('Platform Cost Inputs'!$C$3*3),OFFSET('Cost Calcs'!U72,0,(-'Platform Cost Inputs'!$C$3*3)),0))*'Platform Cost Inputs'!$C$2</f>
        <v>0</v>
      </c>
      <c r="V100" s="7">
        <f ca="1">(IF(V$6&gt;='Platform Cost Inputs'!$C$3,OFFSET('Cost Calcs'!V72,0,-'Platform Cost Inputs'!$C$3),0)+IF(V$6&gt;=('Platform Cost Inputs'!$C$3*2),OFFSET('Cost Calcs'!V72,0,(-'Platform Cost Inputs'!$C$3*2)),0)+IF(V$6&gt;=('Platform Cost Inputs'!$C$3*3),OFFSET('Cost Calcs'!V72,0,(-'Platform Cost Inputs'!$C$3*3)),0))*'Platform Cost Inputs'!$C$2</f>
        <v>0.59592000000000001</v>
      </c>
      <c r="W100" s="7">
        <f ca="1">(IF(W$6&gt;='Platform Cost Inputs'!$C$3,OFFSET('Cost Calcs'!W72,0,-'Platform Cost Inputs'!$C$3),0)+IF(W$6&gt;=('Platform Cost Inputs'!$C$3*2),OFFSET('Cost Calcs'!W72,0,(-'Platform Cost Inputs'!$C$3*2)),0)+IF(W$6&gt;=('Platform Cost Inputs'!$C$3*3),OFFSET('Cost Calcs'!W72,0,(-'Platform Cost Inputs'!$C$3*3)),0))*'Platform Cost Inputs'!$C$2</f>
        <v>0</v>
      </c>
      <c r="X100" s="7">
        <f ca="1">(IF(X$6&gt;='Platform Cost Inputs'!$C$3,OFFSET('Cost Calcs'!X72,0,-'Platform Cost Inputs'!$C$3),0)+IF(X$6&gt;=('Platform Cost Inputs'!$C$3*2),OFFSET('Cost Calcs'!X72,0,(-'Platform Cost Inputs'!$C$3*2)),0)+IF(X$6&gt;=('Platform Cost Inputs'!$C$3*3),OFFSET('Cost Calcs'!X72,0,(-'Platform Cost Inputs'!$C$3*3)),0))*'Platform Cost Inputs'!$C$2</f>
        <v>0</v>
      </c>
      <c r="Y100" s="7">
        <f ca="1">(IF(Y$6&gt;='Platform Cost Inputs'!$C$3,OFFSET('Cost Calcs'!Y72,0,-'Platform Cost Inputs'!$C$3),0)+IF(Y$6&gt;=('Platform Cost Inputs'!$C$3*2),OFFSET('Cost Calcs'!Y72,0,(-'Platform Cost Inputs'!$C$3*2)),0)+IF(Y$6&gt;=('Platform Cost Inputs'!$C$3*3),OFFSET('Cost Calcs'!Y72,0,(-'Platform Cost Inputs'!$C$3*3)),0))*'Platform Cost Inputs'!$C$2</f>
        <v>0</v>
      </c>
      <c r="Z100" s="7">
        <f ca="1">(IF(Z$6&gt;='Platform Cost Inputs'!$C$3,OFFSET('Cost Calcs'!Z72,0,-'Platform Cost Inputs'!$C$3),0)+IF(Z$6&gt;=('Platform Cost Inputs'!$C$3*2),OFFSET('Cost Calcs'!Z72,0,(-'Platform Cost Inputs'!$C$3*2)),0)+IF(Z$6&gt;=('Platform Cost Inputs'!$C$3*3),OFFSET('Cost Calcs'!Z72,0,(-'Platform Cost Inputs'!$C$3*3)),0))*'Platform Cost Inputs'!$C$2</f>
        <v>0</v>
      </c>
    </row>
    <row r="101" spans="1:26" ht="15.75" x14ac:dyDescent="0.25">
      <c r="A101" t="s">
        <v>102</v>
      </c>
      <c r="B101" t="s">
        <v>7</v>
      </c>
      <c r="C101" s="3" t="s">
        <v>9</v>
      </c>
      <c r="D101" s="24">
        <f t="shared" ca="1" si="125"/>
        <v>1.5426458354133428</v>
      </c>
      <c r="E101" s="59">
        <f t="shared" ca="1" si="78"/>
        <v>2.0697199999999998</v>
      </c>
      <c r="F101" s="59"/>
      <c r="G101" s="7">
        <f ca="1">(IF(G$6&gt;='Platform Cost Inputs'!$C$3,OFFSET('Cost Calcs'!G73,0,-'Platform Cost Inputs'!$C$3),0)+IF(G$6&gt;=('Platform Cost Inputs'!$C$3*2),OFFSET('Cost Calcs'!G73,0,(-'Platform Cost Inputs'!$C$3*2)),0)+IF(G$6&gt;=('Platform Cost Inputs'!$C$3*3),OFFSET('Cost Calcs'!G73,0,(-'Platform Cost Inputs'!$C$3*3)),0))*'Platform Cost Inputs'!$C$2</f>
        <v>0</v>
      </c>
      <c r="H101" s="7">
        <f ca="1">(IF(H$6&gt;='Platform Cost Inputs'!$C$3,OFFSET('Cost Calcs'!H73,0,-'Platform Cost Inputs'!$C$3),0)+IF(H$6&gt;=('Platform Cost Inputs'!$C$3*2),OFFSET('Cost Calcs'!H73,0,(-'Platform Cost Inputs'!$C$3*2)),0)+IF(H$6&gt;=('Platform Cost Inputs'!$C$3*3),OFFSET('Cost Calcs'!H73,0,(-'Platform Cost Inputs'!$C$3*3)),0))*'Platform Cost Inputs'!$C$2</f>
        <v>0</v>
      </c>
      <c r="I101" s="7">
        <f ca="1">(IF(I$6&gt;='Platform Cost Inputs'!$C$3,OFFSET('Cost Calcs'!I73,0,-'Platform Cost Inputs'!$C$3),0)+IF(I$6&gt;=('Platform Cost Inputs'!$C$3*2),OFFSET('Cost Calcs'!I73,0,(-'Platform Cost Inputs'!$C$3*2)),0)+IF(I$6&gt;=('Platform Cost Inputs'!$C$3*3),OFFSET('Cost Calcs'!I73,0,(-'Platform Cost Inputs'!$C$3*3)),0))*'Platform Cost Inputs'!$C$2</f>
        <v>0</v>
      </c>
      <c r="J101" s="7">
        <f ca="1">(IF(J$6&gt;='Platform Cost Inputs'!$C$3,OFFSET('Cost Calcs'!J73,0,-'Platform Cost Inputs'!$C$3),0)+IF(J$6&gt;=('Platform Cost Inputs'!$C$3*2),OFFSET('Cost Calcs'!J73,0,(-'Platform Cost Inputs'!$C$3*2)),0)+IF(J$6&gt;=('Platform Cost Inputs'!$C$3*3),OFFSET('Cost Calcs'!J73,0,(-'Platform Cost Inputs'!$C$3*3)),0))*'Platform Cost Inputs'!$C$2</f>
        <v>0</v>
      </c>
      <c r="K101" s="7">
        <f ca="1">(IF(K$6&gt;='Platform Cost Inputs'!$C$3,OFFSET('Cost Calcs'!K73,0,-'Platform Cost Inputs'!$C$3),0)+IF(K$6&gt;=('Platform Cost Inputs'!$C$3*2),OFFSET('Cost Calcs'!K73,0,(-'Platform Cost Inputs'!$C$3*2)),0)+IF(K$6&gt;=('Platform Cost Inputs'!$C$3*3),OFFSET('Cost Calcs'!K73,0,(-'Platform Cost Inputs'!$C$3*3)),0))*'Platform Cost Inputs'!$C$2</f>
        <v>0</v>
      </c>
      <c r="L101" s="7">
        <f ca="1">(IF(L$6&gt;='Platform Cost Inputs'!$C$3,OFFSET('Cost Calcs'!L73,0,-'Platform Cost Inputs'!$C$3),0)+IF(L$6&gt;=('Platform Cost Inputs'!$C$3*2),OFFSET('Cost Calcs'!L73,0,(-'Platform Cost Inputs'!$C$3*2)),0)+IF(L$6&gt;=('Platform Cost Inputs'!$C$3*3),OFFSET('Cost Calcs'!L73,0,(-'Platform Cost Inputs'!$C$3*3)),0))*'Platform Cost Inputs'!$C$2</f>
        <v>0</v>
      </c>
      <c r="M101" s="7">
        <f ca="1">(IF(M$6&gt;='Platform Cost Inputs'!$C$3,OFFSET('Cost Calcs'!M73,0,-'Platform Cost Inputs'!$C$3),0)+IF(M$6&gt;=('Platform Cost Inputs'!$C$3*2),OFFSET('Cost Calcs'!M73,0,(-'Platform Cost Inputs'!$C$3*2)),0)+IF(M$6&gt;=('Platform Cost Inputs'!$C$3*3),OFFSET('Cost Calcs'!M73,0,(-'Platform Cost Inputs'!$C$3*3)),0))*'Platform Cost Inputs'!$C$2</f>
        <v>0</v>
      </c>
      <c r="N101" s="7">
        <f ca="1">(IF(N$6&gt;='Platform Cost Inputs'!$C$3,OFFSET('Cost Calcs'!N73,0,-'Platform Cost Inputs'!$C$3),0)+IF(N$6&gt;=('Platform Cost Inputs'!$C$3*2),OFFSET('Cost Calcs'!N73,0,(-'Platform Cost Inputs'!$C$3*2)),0)+IF(N$6&gt;=('Platform Cost Inputs'!$C$3*3),OFFSET('Cost Calcs'!N73,0,(-'Platform Cost Inputs'!$C$3*3)),0))*'Platform Cost Inputs'!$C$2</f>
        <v>1.0348599999999999</v>
      </c>
      <c r="O101" s="7">
        <f ca="1">(IF(O$6&gt;='Platform Cost Inputs'!$C$3,OFFSET('Cost Calcs'!O73,0,-'Platform Cost Inputs'!$C$3),0)+IF(O$6&gt;=('Platform Cost Inputs'!$C$3*2),OFFSET('Cost Calcs'!O73,0,(-'Platform Cost Inputs'!$C$3*2)),0)+IF(O$6&gt;=('Platform Cost Inputs'!$C$3*3),OFFSET('Cost Calcs'!O73,0,(-'Platform Cost Inputs'!$C$3*3)),0))*'Platform Cost Inputs'!$C$2</f>
        <v>0</v>
      </c>
      <c r="P101" s="7">
        <f ca="1">(IF(P$6&gt;='Platform Cost Inputs'!$C$3,OFFSET('Cost Calcs'!P73,0,-'Platform Cost Inputs'!$C$3),0)+IF(P$6&gt;=('Platform Cost Inputs'!$C$3*2),OFFSET('Cost Calcs'!P73,0,(-'Platform Cost Inputs'!$C$3*2)),0)+IF(P$6&gt;=('Platform Cost Inputs'!$C$3*3),OFFSET('Cost Calcs'!P73,0,(-'Platform Cost Inputs'!$C$3*3)),0))*'Platform Cost Inputs'!$C$2</f>
        <v>0</v>
      </c>
      <c r="Q101" s="7">
        <f ca="1">(IF(Q$6&gt;='Platform Cost Inputs'!$C$3,OFFSET('Cost Calcs'!Q73,0,-'Platform Cost Inputs'!$C$3),0)+IF(Q$6&gt;=('Platform Cost Inputs'!$C$3*2),OFFSET('Cost Calcs'!Q73,0,(-'Platform Cost Inputs'!$C$3*2)),0)+IF(Q$6&gt;=('Platform Cost Inputs'!$C$3*3),OFFSET('Cost Calcs'!Q73,0,(-'Platform Cost Inputs'!$C$3*3)),0))*'Platform Cost Inputs'!$C$2</f>
        <v>0</v>
      </c>
      <c r="R101" s="7">
        <f ca="1">(IF(R$6&gt;='Platform Cost Inputs'!$C$3,OFFSET('Cost Calcs'!R73,0,-'Platform Cost Inputs'!$C$3),0)+IF(R$6&gt;=('Platform Cost Inputs'!$C$3*2),OFFSET('Cost Calcs'!R73,0,(-'Platform Cost Inputs'!$C$3*2)),0)+IF(R$6&gt;=('Platform Cost Inputs'!$C$3*3),OFFSET('Cost Calcs'!R73,0,(-'Platform Cost Inputs'!$C$3*3)),0))*'Platform Cost Inputs'!$C$2</f>
        <v>0</v>
      </c>
      <c r="S101" s="7">
        <f ca="1">(IF(S$6&gt;='Platform Cost Inputs'!$C$3,OFFSET('Cost Calcs'!S73,0,-'Platform Cost Inputs'!$C$3),0)+IF(S$6&gt;=('Platform Cost Inputs'!$C$3*2),OFFSET('Cost Calcs'!S73,0,(-'Platform Cost Inputs'!$C$3*2)),0)+IF(S$6&gt;=('Platform Cost Inputs'!$C$3*3),OFFSET('Cost Calcs'!S73,0,(-'Platform Cost Inputs'!$C$3*3)),0))*'Platform Cost Inputs'!$C$2</f>
        <v>0</v>
      </c>
      <c r="T101" s="7">
        <f ca="1">(IF(T$6&gt;='Platform Cost Inputs'!$C$3,OFFSET('Cost Calcs'!T73,0,-'Platform Cost Inputs'!$C$3),0)+IF(T$6&gt;=('Platform Cost Inputs'!$C$3*2),OFFSET('Cost Calcs'!T73,0,(-'Platform Cost Inputs'!$C$3*2)),0)+IF(T$6&gt;=('Platform Cost Inputs'!$C$3*3),OFFSET('Cost Calcs'!T73,0,(-'Platform Cost Inputs'!$C$3*3)),0))*'Platform Cost Inputs'!$C$2</f>
        <v>0</v>
      </c>
      <c r="U101" s="7">
        <f ca="1">(IF(U$6&gt;='Platform Cost Inputs'!$C$3,OFFSET('Cost Calcs'!U73,0,-'Platform Cost Inputs'!$C$3),0)+IF(U$6&gt;=('Platform Cost Inputs'!$C$3*2),OFFSET('Cost Calcs'!U73,0,(-'Platform Cost Inputs'!$C$3*2)),0)+IF(U$6&gt;=('Platform Cost Inputs'!$C$3*3),OFFSET('Cost Calcs'!U73,0,(-'Platform Cost Inputs'!$C$3*3)),0))*'Platform Cost Inputs'!$C$2</f>
        <v>1.0348599999999999</v>
      </c>
      <c r="V101" s="7">
        <f ca="1">(IF(V$6&gt;='Platform Cost Inputs'!$C$3,OFFSET('Cost Calcs'!V73,0,-'Platform Cost Inputs'!$C$3),0)+IF(V$6&gt;=('Platform Cost Inputs'!$C$3*2),OFFSET('Cost Calcs'!V73,0,(-'Platform Cost Inputs'!$C$3*2)),0)+IF(V$6&gt;=('Platform Cost Inputs'!$C$3*3),OFFSET('Cost Calcs'!V73,0,(-'Platform Cost Inputs'!$C$3*3)),0))*'Platform Cost Inputs'!$C$2</f>
        <v>0</v>
      </c>
      <c r="W101" s="7">
        <f ca="1">(IF(W$6&gt;='Platform Cost Inputs'!$C$3,OFFSET('Cost Calcs'!W73,0,-'Platform Cost Inputs'!$C$3),0)+IF(W$6&gt;=('Platform Cost Inputs'!$C$3*2),OFFSET('Cost Calcs'!W73,0,(-'Platform Cost Inputs'!$C$3*2)),0)+IF(W$6&gt;=('Platform Cost Inputs'!$C$3*3),OFFSET('Cost Calcs'!W73,0,(-'Platform Cost Inputs'!$C$3*3)),0))*'Platform Cost Inputs'!$C$2</f>
        <v>0</v>
      </c>
      <c r="X101" s="7">
        <f ca="1">(IF(X$6&gt;='Platform Cost Inputs'!$C$3,OFFSET('Cost Calcs'!X73,0,-'Platform Cost Inputs'!$C$3),0)+IF(X$6&gt;=('Platform Cost Inputs'!$C$3*2),OFFSET('Cost Calcs'!X73,0,(-'Platform Cost Inputs'!$C$3*2)),0)+IF(X$6&gt;=('Platform Cost Inputs'!$C$3*3),OFFSET('Cost Calcs'!X73,0,(-'Platform Cost Inputs'!$C$3*3)),0))*'Platform Cost Inputs'!$C$2</f>
        <v>0</v>
      </c>
      <c r="Y101" s="7">
        <f ca="1">(IF(Y$6&gt;='Platform Cost Inputs'!$C$3,OFFSET('Cost Calcs'!Y73,0,-'Platform Cost Inputs'!$C$3),0)+IF(Y$6&gt;=('Platform Cost Inputs'!$C$3*2),OFFSET('Cost Calcs'!Y73,0,(-'Platform Cost Inputs'!$C$3*2)),0)+IF(Y$6&gt;=('Platform Cost Inputs'!$C$3*3),OFFSET('Cost Calcs'!Y73,0,(-'Platform Cost Inputs'!$C$3*3)),0))*'Platform Cost Inputs'!$C$2</f>
        <v>0</v>
      </c>
      <c r="Z101" s="7">
        <f ca="1">(IF(Z$6&gt;='Platform Cost Inputs'!$C$3,OFFSET('Cost Calcs'!Z73,0,-'Platform Cost Inputs'!$C$3),0)+IF(Z$6&gt;=('Platform Cost Inputs'!$C$3*2),OFFSET('Cost Calcs'!Z73,0,(-'Platform Cost Inputs'!$C$3*2)),0)+IF(Z$6&gt;=('Platform Cost Inputs'!$C$3*3),OFFSET('Cost Calcs'!Z73,0,(-'Platform Cost Inputs'!$C$3*3)),0))*'Platform Cost Inputs'!$C$2</f>
        <v>0</v>
      </c>
    </row>
    <row r="102" spans="1:26" ht="15.75" x14ac:dyDescent="0.25">
      <c r="A102" t="s">
        <v>96</v>
      </c>
      <c r="B102" t="s">
        <v>7</v>
      </c>
      <c r="C102" s="3" t="s">
        <v>9</v>
      </c>
      <c r="D102" s="24">
        <f t="shared" ca="1" si="125"/>
        <v>0.78477266598318329</v>
      </c>
      <c r="E102" s="59">
        <f t="shared" ca="1" si="78"/>
        <v>1.08186</v>
      </c>
      <c r="F102" s="59"/>
      <c r="G102" s="7">
        <f ca="1">(IF(G$6&gt;='Platform Cost Inputs'!$C$3,OFFSET('Cost Calcs'!G74,0,-'Platform Cost Inputs'!$C$3),0)+IF(G$6&gt;=('Platform Cost Inputs'!$C$3*2),OFFSET('Cost Calcs'!G74,0,(-'Platform Cost Inputs'!$C$3*2)),0)+IF(G$6&gt;=('Platform Cost Inputs'!$C$3*3),OFFSET('Cost Calcs'!G74,0,(-'Platform Cost Inputs'!$C$3*3)),0))*'Platform Cost Inputs'!$C$2</f>
        <v>0</v>
      </c>
      <c r="H102" s="7">
        <f ca="1">(IF(H$6&gt;='Platform Cost Inputs'!$C$3,OFFSET('Cost Calcs'!H74,0,-'Platform Cost Inputs'!$C$3),0)+IF(H$6&gt;=('Platform Cost Inputs'!$C$3*2),OFFSET('Cost Calcs'!H74,0,(-'Platform Cost Inputs'!$C$3*2)),0)+IF(H$6&gt;=('Platform Cost Inputs'!$C$3*3),OFFSET('Cost Calcs'!H74,0,(-'Platform Cost Inputs'!$C$3*3)),0))*'Platform Cost Inputs'!$C$2</f>
        <v>0</v>
      </c>
      <c r="I102" s="7">
        <f ca="1">(IF(I$6&gt;='Platform Cost Inputs'!$C$3,OFFSET('Cost Calcs'!I74,0,-'Platform Cost Inputs'!$C$3),0)+IF(I$6&gt;=('Platform Cost Inputs'!$C$3*2),OFFSET('Cost Calcs'!I74,0,(-'Platform Cost Inputs'!$C$3*2)),0)+IF(I$6&gt;=('Platform Cost Inputs'!$C$3*3),OFFSET('Cost Calcs'!I74,0,(-'Platform Cost Inputs'!$C$3*3)),0))*'Platform Cost Inputs'!$C$2</f>
        <v>0</v>
      </c>
      <c r="J102" s="7">
        <f ca="1">(IF(J$6&gt;='Platform Cost Inputs'!$C$3,OFFSET('Cost Calcs'!J74,0,-'Platform Cost Inputs'!$C$3),0)+IF(J$6&gt;=('Platform Cost Inputs'!$C$3*2),OFFSET('Cost Calcs'!J74,0,(-'Platform Cost Inputs'!$C$3*2)),0)+IF(J$6&gt;=('Platform Cost Inputs'!$C$3*3),OFFSET('Cost Calcs'!J74,0,(-'Platform Cost Inputs'!$C$3*3)),0))*'Platform Cost Inputs'!$C$2</f>
        <v>0</v>
      </c>
      <c r="K102" s="7">
        <f ca="1">(IF(K$6&gt;='Platform Cost Inputs'!$C$3,OFFSET('Cost Calcs'!K74,0,-'Platform Cost Inputs'!$C$3),0)+IF(K$6&gt;=('Platform Cost Inputs'!$C$3*2),OFFSET('Cost Calcs'!K74,0,(-'Platform Cost Inputs'!$C$3*2)),0)+IF(K$6&gt;=('Platform Cost Inputs'!$C$3*3),OFFSET('Cost Calcs'!K74,0,(-'Platform Cost Inputs'!$C$3*3)),0))*'Platform Cost Inputs'!$C$2</f>
        <v>0</v>
      </c>
      <c r="L102" s="7">
        <f ca="1">(IF(L$6&gt;='Platform Cost Inputs'!$C$3,OFFSET('Cost Calcs'!L74,0,-'Platform Cost Inputs'!$C$3),0)+IF(L$6&gt;=('Platform Cost Inputs'!$C$3*2),OFFSET('Cost Calcs'!L74,0,(-'Platform Cost Inputs'!$C$3*2)),0)+IF(L$6&gt;=('Platform Cost Inputs'!$C$3*3),OFFSET('Cost Calcs'!L74,0,(-'Platform Cost Inputs'!$C$3*3)),0))*'Platform Cost Inputs'!$C$2</f>
        <v>0</v>
      </c>
      <c r="M102" s="7">
        <f ca="1">(IF(M$6&gt;='Platform Cost Inputs'!$C$3,OFFSET('Cost Calcs'!M74,0,-'Platform Cost Inputs'!$C$3),0)+IF(M$6&gt;=('Platform Cost Inputs'!$C$3*2),OFFSET('Cost Calcs'!M74,0,(-'Platform Cost Inputs'!$C$3*2)),0)+IF(M$6&gt;=('Platform Cost Inputs'!$C$3*3),OFFSET('Cost Calcs'!M74,0,(-'Platform Cost Inputs'!$C$3*3)),0))*'Platform Cost Inputs'!$C$2</f>
        <v>0</v>
      </c>
      <c r="N102" s="7">
        <f ca="1">(IF(N$6&gt;='Platform Cost Inputs'!$C$3,OFFSET('Cost Calcs'!N74,0,-'Platform Cost Inputs'!$C$3),0)+IF(N$6&gt;=('Platform Cost Inputs'!$C$3*2),OFFSET('Cost Calcs'!N74,0,(-'Platform Cost Inputs'!$C$3*2)),0)+IF(N$6&gt;=('Platform Cost Inputs'!$C$3*3),OFFSET('Cost Calcs'!N74,0,(-'Platform Cost Inputs'!$C$3*3)),0))*'Platform Cost Inputs'!$C$2</f>
        <v>0</v>
      </c>
      <c r="O102" s="7">
        <f ca="1">(IF(O$6&gt;='Platform Cost Inputs'!$C$3,OFFSET('Cost Calcs'!O74,0,-'Platform Cost Inputs'!$C$3),0)+IF(O$6&gt;=('Platform Cost Inputs'!$C$3*2),OFFSET('Cost Calcs'!O74,0,(-'Platform Cost Inputs'!$C$3*2)),0)+IF(O$6&gt;=('Platform Cost Inputs'!$C$3*3),OFFSET('Cost Calcs'!O74,0,(-'Platform Cost Inputs'!$C$3*3)),0))*'Platform Cost Inputs'!$C$2</f>
        <v>0.54093000000000002</v>
      </c>
      <c r="P102" s="7">
        <f ca="1">(IF(P$6&gt;='Platform Cost Inputs'!$C$3,OFFSET('Cost Calcs'!P74,0,-'Platform Cost Inputs'!$C$3),0)+IF(P$6&gt;=('Platform Cost Inputs'!$C$3*2),OFFSET('Cost Calcs'!P74,0,(-'Platform Cost Inputs'!$C$3*2)),0)+IF(P$6&gt;=('Platform Cost Inputs'!$C$3*3),OFFSET('Cost Calcs'!P74,0,(-'Platform Cost Inputs'!$C$3*3)),0))*'Platform Cost Inputs'!$C$2</f>
        <v>0</v>
      </c>
      <c r="Q102" s="7">
        <f ca="1">(IF(Q$6&gt;='Platform Cost Inputs'!$C$3,OFFSET('Cost Calcs'!Q74,0,-'Platform Cost Inputs'!$C$3),0)+IF(Q$6&gt;=('Platform Cost Inputs'!$C$3*2),OFFSET('Cost Calcs'!Q74,0,(-'Platform Cost Inputs'!$C$3*2)),0)+IF(Q$6&gt;=('Platform Cost Inputs'!$C$3*3),OFFSET('Cost Calcs'!Q74,0,(-'Platform Cost Inputs'!$C$3*3)),0))*'Platform Cost Inputs'!$C$2</f>
        <v>0</v>
      </c>
      <c r="R102" s="7">
        <f ca="1">(IF(R$6&gt;='Platform Cost Inputs'!$C$3,OFFSET('Cost Calcs'!R74,0,-'Platform Cost Inputs'!$C$3),0)+IF(R$6&gt;=('Platform Cost Inputs'!$C$3*2),OFFSET('Cost Calcs'!R74,0,(-'Platform Cost Inputs'!$C$3*2)),0)+IF(R$6&gt;=('Platform Cost Inputs'!$C$3*3),OFFSET('Cost Calcs'!R74,0,(-'Platform Cost Inputs'!$C$3*3)),0))*'Platform Cost Inputs'!$C$2</f>
        <v>0</v>
      </c>
      <c r="S102" s="7">
        <f ca="1">(IF(S$6&gt;='Platform Cost Inputs'!$C$3,OFFSET('Cost Calcs'!S74,0,-'Platform Cost Inputs'!$C$3),0)+IF(S$6&gt;=('Platform Cost Inputs'!$C$3*2),OFFSET('Cost Calcs'!S74,0,(-'Platform Cost Inputs'!$C$3*2)),0)+IF(S$6&gt;=('Platform Cost Inputs'!$C$3*3),OFFSET('Cost Calcs'!S74,0,(-'Platform Cost Inputs'!$C$3*3)),0))*'Platform Cost Inputs'!$C$2</f>
        <v>0</v>
      </c>
      <c r="T102" s="7">
        <f ca="1">(IF(T$6&gt;='Platform Cost Inputs'!$C$3,OFFSET('Cost Calcs'!T74,0,-'Platform Cost Inputs'!$C$3),0)+IF(T$6&gt;=('Platform Cost Inputs'!$C$3*2),OFFSET('Cost Calcs'!T74,0,(-'Platform Cost Inputs'!$C$3*2)),0)+IF(T$6&gt;=('Platform Cost Inputs'!$C$3*3),OFFSET('Cost Calcs'!T74,0,(-'Platform Cost Inputs'!$C$3*3)),0))*'Platform Cost Inputs'!$C$2</f>
        <v>0</v>
      </c>
      <c r="U102" s="7">
        <f ca="1">(IF(U$6&gt;='Platform Cost Inputs'!$C$3,OFFSET('Cost Calcs'!U74,0,-'Platform Cost Inputs'!$C$3),0)+IF(U$6&gt;=('Platform Cost Inputs'!$C$3*2),OFFSET('Cost Calcs'!U74,0,(-'Platform Cost Inputs'!$C$3*2)),0)+IF(U$6&gt;=('Platform Cost Inputs'!$C$3*3),OFFSET('Cost Calcs'!U74,0,(-'Platform Cost Inputs'!$C$3*3)),0))*'Platform Cost Inputs'!$C$2</f>
        <v>0</v>
      </c>
      <c r="V102" s="7">
        <f ca="1">(IF(V$6&gt;='Platform Cost Inputs'!$C$3,OFFSET('Cost Calcs'!V74,0,-'Platform Cost Inputs'!$C$3),0)+IF(V$6&gt;=('Platform Cost Inputs'!$C$3*2),OFFSET('Cost Calcs'!V74,0,(-'Platform Cost Inputs'!$C$3*2)),0)+IF(V$6&gt;=('Platform Cost Inputs'!$C$3*3),OFFSET('Cost Calcs'!V74,0,(-'Platform Cost Inputs'!$C$3*3)),0))*'Platform Cost Inputs'!$C$2</f>
        <v>0.54093000000000002</v>
      </c>
      <c r="W102" s="7">
        <f ca="1">(IF(W$6&gt;='Platform Cost Inputs'!$C$3,OFFSET('Cost Calcs'!W74,0,-'Platform Cost Inputs'!$C$3),0)+IF(W$6&gt;=('Platform Cost Inputs'!$C$3*2),OFFSET('Cost Calcs'!W74,0,(-'Platform Cost Inputs'!$C$3*2)),0)+IF(W$6&gt;=('Platform Cost Inputs'!$C$3*3),OFFSET('Cost Calcs'!W74,0,(-'Platform Cost Inputs'!$C$3*3)),0))*'Platform Cost Inputs'!$C$2</f>
        <v>0</v>
      </c>
      <c r="X102" s="7">
        <f ca="1">(IF(X$6&gt;='Platform Cost Inputs'!$C$3,OFFSET('Cost Calcs'!X74,0,-'Platform Cost Inputs'!$C$3),0)+IF(X$6&gt;=('Platform Cost Inputs'!$C$3*2),OFFSET('Cost Calcs'!X74,0,(-'Platform Cost Inputs'!$C$3*2)),0)+IF(X$6&gt;=('Platform Cost Inputs'!$C$3*3),OFFSET('Cost Calcs'!X74,0,(-'Platform Cost Inputs'!$C$3*3)),0))*'Platform Cost Inputs'!$C$2</f>
        <v>0</v>
      </c>
      <c r="Y102" s="7">
        <f ca="1">(IF(Y$6&gt;='Platform Cost Inputs'!$C$3,OFFSET('Cost Calcs'!Y74,0,-'Platform Cost Inputs'!$C$3),0)+IF(Y$6&gt;=('Platform Cost Inputs'!$C$3*2),OFFSET('Cost Calcs'!Y74,0,(-'Platform Cost Inputs'!$C$3*2)),0)+IF(Y$6&gt;=('Platform Cost Inputs'!$C$3*3),OFFSET('Cost Calcs'!Y74,0,(-'Platform Cost Inputs'!$C$3*3)),0))*'Platform Cost Inputs'!$C$2</f>
        <v>0</v>
      </c>
      <c r="Z102" s="7">
        <f ca="1">(IF(Z$6&gt;='Platform Cost Inputs'!$C$3,OFFSET('Cost Calcs'!Z74,0,-'Platform Cost Inputs'!$C$3),0)+IF(Z$6&gt;=('Platform Cost Inputs'!$C$3*2),OFFSET('Cost Calcs'!Z74,0,(-'Platform Cost Inputs'!$C$3*2)),0)+IF(Z$6&gt;=('Platform Cost Inputs'!$C$3*3),OFFSET('Cost Calcs'!Z74,0,(-'Platform Cost Inputs'!$C$3*3)),0))*'Platform Cost Inputs'!$C$2</f>
        <v>0</v>
      </c>
    </row>
    <row r="103" spans="1:26" ht="15.75" x14ac:dyDescent="0.25">
      <c r="A103" t="s">
        <v>319</v>
      </c>
      <c r="B103" t="s">
        <v>7</v>
      </c>
      <c r="C103" s="3" t="s">
        <v>9</v>
      </c>
      <c r="D103" s="24">
        <f t="shared" ca="1" si="125"/>
        <v>2.3397473665909354</v>
      </c>
      <c r="E103" s="59">
        <f t="shared" ca="1" si="78"/>
        <v>3.167424</v>
      </c>
      <c r="F103" s="59"/>
      <c r="G103" s="7">
        <f ca="1">(IF(G$6&gt;='Platform Cost Inputs'!$C$3,OFFSET('Cost Calcs'!G75,0,-'Platform Cost Inputs'!$C$3),0)+IF(G$6&gt;=('Platform Cost Inputs'!$C$3*2),OFFSET('Cost Calcs'!G75,0,(-'Platform Cost Inputs'!$C$3*2)),0)+IF(G$6&gt;=('Platform Cost Inputs'!$C$3*3),OFFSET('Cost Calcs'!G75,0,(-'Platform Cost Inputs'!$C$3*3)),0))*'Platform Cost Inputs'!$C$2</f>
        <v>0</v>
      </c>
      <c r="H103" s="7">
        <f ca="1">(IF(H$6&gt;='Platform Cost Inputs'!$C$3,OFFSET('Cost Calcs'!H75,0,-'Platform Cost Inputs'!$C$3),0)+IF(H$6&gt;=('Platform Cost Inputs'!$C$3*2),OFFSET('Cost Calcs'!H75,0,(-'Platform Cost Inputs'!$C$3*2)),0)+IF(H$6&gt;=('Platform Cost Inputs'!$C$3*3),OFFSET('Cost Calcs'!H75,0,(-'Platform Cost Inputs'!$C$3*3)),0))*'Platform Cost Inputs'!$C$2</f>
        <v>0</v>
      </c>
      <c r="I103" s="7">
        <f ca="1">(IF(I$6&gt;='Platform Cost Inputs'!$C$3,OFFSET('Cost Calcs'!I75,0,-'Platform Cost Inputs'!$C$3),0)+IF(I$6&gt;=('Platform Cost Inputs'!$C$3*2),OFFSET('Cost Calcs'!I75,0,(-'Platform Cost Inputs'!$C$3*2)),0)+IF(I$6&gt;=('Platform Cost Inputs'!$C$3*3),OFFSET('Cost Calcs'!I75,0,(-'Platform Cost Inputs'!$C$3*3)),0))*'Platform Cost Inputs'!$C$2</f>
        <v>0</v>
      </c>
      <c r="J103" s="7">
        <f ca="1">(IF(J$6&gt;='Platform Cost Inputs'!$C$3,OFFSET('Cost Calcs'!J75,0,-'Platform Cost Inputs'!$C$3),0)+IF(J$6&gt;=('Platform Cost Inputs'!$C$3*2),OFFSET('Cost Calcs'!J75,0,(-'Platform Cost Inputs'!$C$3*2)),0)+IF(J$6&gt;=('Platform Cost Inputs'!$C$3*3),OFFSET('Cost Calcs'!J75,0,(-'Platform Cost Inputs'!$C$3*3)),0))*'Platform Cost Inputs'!$C$2</f>
        <v>0</v>
      </c>
      <c r="K103" s="7">
        <f ca="1">(IF(K$6&gt;='Platform Cost Inputs'!$C$3,OFFSET('Cost Calcs'!K75,0,-'Platform Cost Inputs'!$C$3),0)+IF(K$6&gt;=('Platform Cost Inputs'!$C$3*2),OFFSET('Cost Calcs'!K75,0,(-'Platform Cost Inputs'!$C$3*2)),0)+IF(K$6&gt;=('Platform Cost Inputs'!$C$3*3),OFFSET('Cost Calcs'!K75,0,(-'Platform Cost Inputs'!$C$3*3)),0))*'Platform Cost Inputs'!$C$2</f>
        <v>0</v>
      </c>
      <c r="L103" s="7">
        <f ca="1">(IF(L$6&gt;='Platform Cost Inputs'!$C$3,OFFSET('Cost Calcs'!L75,0,-'Platform Cost Inputs'!$C$3),0)+IF(L$6&gt;=('Platform Cost Inputs'!$C$3*2),OFFSET('Cost Calcs'!L75,0,(-'Platform Cost Inputs'!$C$3*2)),0)+IF(L$6&gt;=('Platform Cost Inputs'!$C$3*3),OFFSET('Cost Calcs'!L75,0,(-'Platform Cost Inputs'!$C$3*3)),0))*'Platform Cost Inputs'!$C$2</f>
        <v>0</v>
      </c>
      <c r="M103" s="7">
        <f ca="1">(IF(M$6&gt;='Platform Cost Inputs'!$C$3,OFFSET('Cost Calcs'!M75,0,-'Platform Cost Inputs'!$C$3),0)+IF(M$6&gt;=('Platform Cost Inputs'!$C$3*2),OFFSET('Cost Calcs'!M75,0,(-'Platform Cost Inputs'!$C$3*2)),0)+IF(M$6&gt;=('Platform Cost Inputs'!$C$3*3),OFFSET('Cost Calcs'!M75,0,(-'Platform Cost Inputs'!$C$3*3)),0))*'Platform Cost Inputs'!$C$2</f>
        <v>0</v>
      </c>
      <c r="N103" s="7">
        <f ca="1">(IF(N$6&gt;='Platform Cost Inputs'!$C$3,OFFSET('Cost Calcs'!N75,0,-'Platform Cost Inputs'!$C$3),0)+IF(N$6&gt;=('Platform Cost Inputs'!$C$3*2),OFFSET('Cost Calcs'!N75,0,(-'Platform Cost Inputs'!$C$3*2)),0)+IF(N$6&gt;=('Platform Cost Inputs'!$C$3*3),OFFSET('Cost Calcs'!N75,0,(-'Platform Cost Inputs'!$C$3*3)),0))*'Platform Cost Inputs'!$C$2</f>
        <v>1.0558080000000001</v>
      </c>
      <c r="O103" s="7">
        <f ca="1">(IF(O$6&gt;='Platform Cost Inputs'!$C$3,OFFSET('Cost Calcs'!O75,0,-'Platform Cost Inputs'!$C$3),0)+IF(O$6&gt;=('Platform Cost Inputs'!$C$3*2),OFFSET('Cost Calcs'!O75,0,(-'Platform Cost Inputs'!$C$3*2)),0)+IF(O$6&gt;=('Platform Cost Inputs'!$C$3*3),OFFSET('Cost Calcs'!O75,0,(-'Platform Cost Inputs'!$C$3*3)),0))*'Platform Cost Inputs'!$C$2</f>
        <v>0.52790400000000004</v>
      </c>
      <c r="P103" s="7">
        <f ca="1">(IF(P$6&gt;='Platform Cost Inputs'!$C$3,OFFSET('Cost Calcs'!P75,0,-'Platform Cost Inputs'!$C$3),0)+IF(P$6&gt;=('Platform Cost Inputs'!$C$3*2),OFFSET('Cost Calcs'!P75,0,(-'Platform Cost Inputs'!$C$3*2)),0)+IF(P$6&gt;=('Platform Cost Inputs'!$C$3*3),OFFSET('Cost Calcs'!P75,0,(-'Platform Cost Inputs'!$C$3*3)),0))*'Platform Cost Inputs'!$C$2</f>
        <v>0</v>
      </c>
      <c r="Q103" s="7">
        <f ca="1">(IF(Q$6&gt;='Platform Cost Inputs'!$C$3,OFFSET('Cost Calcs'!Q75,0,-'Platform Cost Inputs'!$C$3),0)+IF(Q$6&gt;=('Platform Cost Inputs'!$C$3*2),OFFSET('Cost Calcs'!Q75,0,(-'Platform Cost Inputs'!$C$3*2)),0)+IF(Q$6&gt;=('Platform Cost Inputs'!$C$3*3),OFFSET('Cost Calcs'!Q75,0,(-'Platform Cost Inputs'!$C$3*3)),0))*'Platform Cost Inputs'!$C$2</f>
        <v>0</v>
      </c>
      <c r="R103" s="7">
        <f ca="1">(IF(R$6&gt;='Platform Cost Inputs'!$C$3,OFFSET('Cost Calcs'!R75,0,-'Platform Cost Inputs'!$C$3),0)+IF(R$6&gt;=('Platform Cost Inputs'!$C$3*2),OFFSET('Cost Calcs'!R75,0,(-'Platform Cost Inputs'!$C$3*2)),0)+IF(R$6&gt;=('Platform Cost Inputs'!$C$3*3),OFFSET('Cost Calcs'!R75,0,(-'Platform Cost Inputs'!$C$3*3)),0))*'Platform Cost Inputs'!$C$2</f>
        <v>0</v>
      </c>
      <c r="S103" s="7">
        <f ca="1">(IF(S$6&gt;='Platform Cost Inputs'!$C$3,OFFSET('Cost Calcs'!S75,0,-'Platform Cost Inputs'!$C$3),0)+IF(S$6&gt;=('Platform Cost Inputs'!$C$3*2),OFFSET('Cost Calcs'!S75,0,(-'Platform Cost Inputs'!$C$3*2)),0)+IF(S$6&gt;=('Platform Cost Inputs'!$C$3*3),OFFSET('Cost Calcs'!S75,0,(-'Platform Cost Inputs'!$C$3*3)),0))*'Platform Cost Inputs'!$C$2</f>
        <v>0</v>
      </c>
      <c r="T103" s="7">
        <f ca="1">(IF(T$6&gt;='Platform Cost Inputs'!$C$3,OFFSET('Cost Calcs'!T75,0,-'Platform Cost Inputs'!$C$3),0)+IF(T$6&gt;=('Platform Cost Inputs'!$C$3*2),OFFSET('Cost Calcs'!T75,0,(-'Platform Cost Inputs'!$C$3*2)),0)+IF(T$6&gt;=('Platform Cost Inputs'!$C$3*3),OFFSET('Cost Calcs'!T75,0,(-'Platform Cost Inputs'!$C$3*3)),0))*'Platform Cost Inputs'!$C$2</f>
        <v>0</v>
      </c>
      <c r="U103" s="7">
        <f ca="1">(IF(U$6&gt;='Platform Cost Inputs'!$C$3,OFFSET('Cost Calcs'!U75,0,-'Platform Cost Inputs'!$C$3),0)+IF(U$6&gt;=('Platform Cost Inputs'!$C$3*2),OFFSET('Cost Calcs'!U75,0,(-'Platform Cost Inputs'!$C$3*2)),0)+IF(U$6&gt;=('Platform Cost Inputs'!$C$3*3),OFFSET('Cost Calcs'!U75,0,(-'Platform Cost Inputs'!$C$3*3)),0))*'Platform Cost Inputs'!$C$2</f>
        <v>1.0558080000000001</v>
      </c>
      <c r="V103" s="7">
        <f ca="1">(IF(V$6&gt;='Platform Cost Inputs'!$C$3,OFFSET('Cost Calcs'!V75,0,-'Platform Cost Inputs'!$C$3),0)+IF(V$6&gt;=('Platform Cost Inputs'!$C$3*2),OFFSET('Cost Calcs'!V75,0,(-'Platform Cost Inputs'!$C$3*2)),0)+IF(V$6&gt;=('Platform Cost Inputs'!$C$3*3),OFFSET('Cost Calcs'!V75,0,(-'Platform Cost Inputs'!$C$3*3)),0))*'Platform Cost Inputs'!$C$2</f>
        <v>0.52790400000000004</v>
      </c>
      <c r="W103" s="7">
        <f ca="1">(IF(W$6&gt;='Platform Cost Inputs'!$C$3,OFFSET('Cost Calcs'!W75,0,-'Platform Cost Inputs'!$C$3),0)+IF(W$6&gt;=('Platform Cost Inputs'!$C$3*2),OFFSET('Cost Calcs'!W75,0,(-'Platform Cost Inputs'!$C$3*2)),0)+IF(W$6&gt;=('Platform Cost Inputs'!$C$3*3),OFFSET('Cost Calcs'!W75,0,(-'Platform Cost Inputs'!$C$3*3)),0))*'Platform Cost Inputs'!$C$2</f>
        <v>0</v>
      </c>
      <c r="X103" s="7">
        <f ca="1">(IF(X$6&gt;='Platform Cost Inputs'!$C$3,OFFSET('Cost Calcs'!X75,0,-'Platform Cost Inputs'!$C$3),0)+IF(X$6&gt;=('Platform Cost Inputs'!$C$3*2),OFFSET('Cost Calcs'!X75,0,(-'Platform Cost Inputs'!$C$3*2)),0)+IF(X$6&gt;=('Platform Cost Inputs'!$C$3*3),OFFSET('Cost Calcs'!X75,0,(-'Platform Cost Inputs'!$C$3*3)),0))*'Platform Cost Inputs'!$C$2</f>
        <v>0</v>
      </c>
      <c r="Y103" s="7">
        <f ca="1">(IF(Y$6&gt;='Platform Cost Inputs'!$C$3,OFFSET('Cost Calcs'!Y75,0,-'Platform Cost Inputs'!$C$3),0)+IF(Y$6&gt;=('Platform Cost Inputs'!$C$3*2),OFFSET('Cost Calcs'!Y75,0,(-'Platform Cost Inputs'!$C$3*2)),0)+IF(Y$6&gt;=('Platform Cost Inputs'!$C$3*3),OFFSET('Cost Calcs'!Y75,0,(-'Platform Cost Inputs'!$C$3*3)),0))*'Platform Cost Inputs'!$C$2</f>
        <v>0</v>
      </c>
      <c r="Z103" s="7">
        <f ca="1">(IF(Z$6&gt;='Platform Cost Inputs'!$C$3,OFFSET('Cost Calcs'!Z75,0,-'Platform Cost Inputs'!$C$3),0)+IF(Z$6&gt;=('Platform Cost Inputs'!$C$3*2),OFFSET('Cost Calcs'!Z75,0,(-'Platform Cost Inputs'!$C$3*2)),0)+IF(Z$6&gt;=('Platform Cost Inputs'!$C$3*3),OFFSET('Cost Calcs'!Z75,0,(-'Platform Cost Inputs'!$C$3*3)),0))*'Platform Cost Inputs'!$C$2</f>
        <v>0</v>
      </c>
    </row>
    <row r="104" spans="1:26" ht="15.75" x14ac:dyDescent="0.25">
      <c r="A104" t="s">
        <v>97</v>
      </c>
      <c r="B104" t="s">
        <v>7</v>
      </c>
      <c r="C104" s="3" t="s">
        <v>9</v>
      </c>
      <c r="D104" s="24">
        <f t="shared" ca="1" si="125"/>
        <v>1.5738831765512291</v>
      </c>
      <c r="E104" s="59">
        <f t="shared" ca="1" si="78"/>
        <v>2.1697000000000002</v>
      </c>
      <c r="F104" s="59"/>
      <c r="G104" s="7">
        <f ca="1">(IF(G$6&gt;='Platform Cost Inputs'!$C$3,OFFSET('Cost Calcs'!G76,0,-'Platform Cost Inputs'!$C$3),0)+IF(G$6&gt;=('Platform Cost Inputs'!$C$3*2),OFFSET('Cost Calcs'!G76,0,(-'Platform Cost Inputs'!$C$3*2)),0)+IF(G$6&gt;=('Platform Cost Inputs'!$C$3*3),OFFSET('Cost Calcs'!G76,0,(-'Platform Cost Inputs'!$C$3*3)),0))*'Platform Cost Inputs'!$C$2</f>
        <v>0</v>
      </c>
      <c r="H104" s="7">
        <f ca="1">(IF(H$6&gt;='Platform Cost Inputs'!$C$3,OFFSET('Cost Calcs'!H76,0,-'Platform Cost Inputs'!$C$3),0)+IF(H$6&gt;=('Platform Cost Inputs'!$C$3*2),OFFSET('Cost Calcs'!H76,0,(-'Platform Cost Inputs'!$C$3*2)),0)+IF(H$6&gt;=('Platform Cost Inputs'!$C$3*3),OFFSET('Cost Calcs'!H76,0,(-'Platform Cost Inputs'!$C$3*3)),0))*'Platform Cost Inputs'!$C$2</f>
        <v>0</v>
      </c>
      <c r="I104" s="7">
        <f ca="1">(IF(I$6&gt;='Platform Cost Inputs'!$C$3,OFFSET('Cost Calcs'!I76,0,-'Platform Cost Inputs'!$C$3),0)+IF(I$6&gt;=('Platform Cost Inputs'!$C$3*2),OFFSET('Cost Calcs'!I76,0,(-'Platform Cost Inputs'!$C$3*2)),0)+IF(I$6&gt;=('Platform Cost Inputs'!$C$3*3),OFFSET('Cost Calcs'!I76,0,(-'Platform Cost Inputs'!$C$3*3)),0))*'Platform Cost Inputs'!$C$2</f>
        <v>0</v>
      </c>
      <c r="J104" s="7">
        <f ca="1">(IF(J$6&gt;='Platform Cost Inputs'!$C$3,OFFSET('Cost Calcs'!J76,0,-'Platform Cost Inputs'!$C$3),0)+IF(J$6&gt;=('Platform Cost Inputs'!$C$3*2),OFFSET('Cost Calcs'!J76,0,(-'Platform Cost Inputs'!$C$3*2)),0)+IF(J$6&gt;=('Platform Cost Inputs'!$C$3*3),OFFSET('Cost Calcs'!J76,0,(-'Platform Cost Inputs'!$C$3*3)),0))*'Platform Cost Inputs'!$C$2</f>
        <v>0</v>
      </c>
      <c r="K104" s="7">
        <f ca="1">(IF(K$6&gt;='Platform Cost Inputs'!$C$3,OFFSET('Cost Calcs'!K76,0,-'Platform Cost Inputs'!$C$3),0)+IF(K$6&gt;=('Platform Cost Inputs'!$C$3*2),OFFSET('Cost Calcs'!K76,0,(-'Platform Cost Inputs'!$C$3*2)),0)+IF(K$6&gt;=('Platform Cost Inputs'!$C$3*3),OFFSET('Cost Calcs'!K76,0,(-'Platform Cost Inputs'!$C$3*3)),0))*'Platform Cost Inputs'!$C$2</f>
        <v>0</v>
      </c>
      <c r="L104" s="7">
        <f ca="1">(IF(L$6&gt;='Platform Cost Inputs'!$C$3,OFFSET('Cost Calcs'!L76,0,-'Platform Cost Inputs'!$C$3),0)+IF(L$6&gt;=('Platform Cost Inputs'!$C$3*2),OFFSET('Cost Calcs'!L76,0,(-'Platform Cost Inputs'!$C$3*2)),0)+IF(L$6&gt;=('Platform Cost Inputs'!$C$3*3),OFFSET('Cost Calcs'!L76,0,(-'Platform Cost Inputs'!$C$3*3)),0))*'Platform Cost Inputs'!$C$2</f>
        <v>0</v>
      </c>
      <c r="M104" s="7">
        <f ca="1">(IF(M$6&gt;='Platform Cost Inputs'!$C$3,OFFSET('Cost Calcs'!M76,0,-'Platform Cost Inputs'!$C$3),0)+IF(M$6&gt;=('Platform Cost Inputs'!$C$3*2),OFFSET('Cost Calcs'!M76,0,(-'Platform Cost Inputs'!$C$3*2)),0)+IF(M$6&gt;=('Platform Cost Inputs'!$C$3*3),OFFSET('Cost Calcs'!M76,0,(-'Platform Cost Inputs'!$C$3*3)),0))*'Platform Cost Inputs'!$C$2</f>
        <v>0</v>
      </c>
      <c r="N104" s="7">
        <f ca="1">(IF(N$6&gt;='Platform Cost Inputs'!$C$3,OFFSET('Cost Calcs'!N76,0,-'Platform Cost Inputs'!$C$3),0)+IF(N$6&gt;=('Platform Cost Inputs'!$C$3*2),OFFSET('Cost Calcs'!N76,0,(-'Platform Cost Inputs'!$C$3*2)),0)+IF(N$6&gt;=('Platform Cost Inputs'!$C$3*3),OFFSET('Cost Calcs'!N76,0,(-'Platform Cost Inputs'!$C$3*3)),0))*'Platform Cost Inputs'!$C$2</f>
        <v>0</v>
      </c>
      <c r="O104" s="7">
        <f ca="1">(IF(O$6&gt;='Platform Cost Inputs'!$C$3,OFFSET('Cost Calcs'!O76,0,-'Platform Cost Inputs'!$C$3),0)+IF(O$6&gt;=('Platform Cost Inputs'!$C$3*2),OFFSET('Cost Calcs'!O76,0,(-'Platform Cost Inputs'!$C$3*2)),0)+IF(O$6&gt;=('Platform Cost Inputs'!$C$3*3),OFFSET('Cost Calcs'!O76,0,(-'Platform Cost Inputs'!$C$3*3)),0))*'Platform Cost Inputs'!$C$2</f>
        <v>1.0848500000000001</v>
      </c>
      <c r="P104" s="7">
        <f ca="1">(IF(P$6&gt;='Platform Cost Inputs'!$C$3,OFFSET('Cost Calcs'!P76,0,-'Platform Cost Inputs'!$C$3),0)+IF(P$6&gt;=('Platform Cost Inputs'!$C$3*2),OFFSET('Cost Calcs'!P76,0,(-'Platform Cost Inputs'!$C$3*2)),0)+IF(P$6&gt;=('Platform Cost Inputs'!$C$3*3),OFFSET('Cost Calcs'!P76,0,(-'Platform Cost Inputs'!$C$3*3)),0))*'Platform Cost Inputs'!$C$2</f>
        <v>0</v>
      </c>
      <c r="Q104" s="7">
        <f ca="1">(IF(Q$6&gt;='Platform Cost Inputs'!$C$3,OFFSET('Cost Calcs'!Q76,0,-'Platform Cost Inputs'!$C$3),0)+IF(Q$6&gt;=('Platform Cost Inputs'!$C$3*2),OFFSET('Cost Calcs'!Q76,0,(-'Platform Cost Inputs'!$C$3*2)),0)+IF(Q$6&gt;=('Platform Cost Inputs'!$C$3*3),OFFSET('Cost Calcs'!Q76,0,(-'Platform Cost Inputs'!$C$3*3)),0))*'Platform Cost Inputs'!$C$2</f>
        <v>0</v>
      </c>
      <c r="R104" s="7">
        <f ca="1">(IF(R$6&gt;='Platform Cost Inputs'!$C$3,OFFSET('Cost Calcs'!R76,0,-'Platform Cost Inputs'!$C$3),0)+IF(R$6&gt;=('Platform Cost Inputs'!$C$3*2),OFFSET('Cost Calcs'!R76,0,(-'Platform Cost Inputs'!$C$3*2)),0)+IF(R$6&gt;=('Platform Cost Inputs'!$C$3*3),OFFSET('Cost Calcs'!R76,0,(-'Platform Cost Inputs'!$C$3*3)),0))*'Platform Cost Inputs'!$C$2</f>
        <v>0</v>
      </c>
      <c r="S104" s="7">
        <f ca="1">(IF(S$6&gt;='Platform Cost Inputs'!$C$3,OFFSET('Cost Calcs'!S76,0,-'Platform Cost Inputs'!$C$3),0)+IF(S$6&gt;=('Platform Cost Inputs'!$C$3*2),OFFSET('Cost Calcs'!S76,0,(-'Platform Cost Inputs'!$C$3*2)),0)+IF(S$6&gt;=('Platform Cost Inputs'!$C$3*3),OFFSET('Cost Calcs'!S76,0,(-'Platform Cost Inputs'!$C$3*3)),0))*'Platform Cost Inputs'!$C$2</f>
        <v>0</v>
      </c>
      <c r="T104" s="7">
        <f ca="1">(IF(T$6&gt;='Platform Cost Inputs'!$C$3,OFFSET('Cost Calcs'!T76,0,-'Platform Cost Inputs'!$C$3),0)+IF(T$6&gt;=('Platform Cost Inputs'!$C$3*2),OFFSET('Cost Calcs'!T76,0,(-'Platform Cost Inputs'!$C$3*2)),0)+IF(T$6&gt;=('Platform Cost Inputs'!$C$3*3),OFFSET('Cost Calcs'!T76,0,(-'Platform Cost Inputs'!$C$3*3)),0))*'Platform Cost Inputs'!$C$2</f>
        <v>0</v>
      </c>
      <c r="U104" s="7">
        <f ca="1">(IF(U$6&gt;='Platform Cost Inputs'!$C$3,OFFSET('Cost Calcs'!U76,0,-'Platform Cost Inputs'!$C$3),0)+IF(U$6&gt;=('Platform Cost Inputs'!$C$3*2),OFFSET('Cost Calcs'!U76,0,(-'Platform Cost Inputs'!$C$3*2)),0)+IF(U$6&gt;=('Platform Cost Inputs'!$C$3*3),OFFSET('Cost Calcs'!U76,0,(-'Platform Cost Inputs'!$C$3*3)),0))*'Platform Cost Inputs'!$C$2</f>
        <v>0</v>
      </c>
      <c r="V104" s="7">
        <f ca="1">(IF(V$6&gt;='Platform Cost Inputs'!$C$3,OFFSET('Cost Calcs'!V76,0,-'Platform Cost Inputs'!$C$3),0)+IF(V$6&gt;=('Platform Cost Inputs'!$C$3*2),OFFSET('Cost Calcs'!V76,0,(-'Platform Cost Inputs'!$C$3*2)),0)+IF(V$6&gt;=('Platform Cost Inputs'!$C$3*3),OFFSET('Cost Calcs'!V76,0,(-'Platform Cost Inputs'!$C$3*3)),0))*'Platform Cost Inputs'!$C$2</f>
        <v>1.0848500000000001</v>
      </c>
      <c r="W104" s="7">
        <f ca="1">(IF(W$6&gt;='Platform Cost Inputs'!$C$3,OFFSET('Cost Calcs'!W76,0,-'Platform Cost Inputs'!$C$3),0)+IF(W$6&gt;=('Platform Cost Inputs'!$C$3*2),OFFSET('Cost Calcs'!W76,0,(-'Platform Cost Inputs'!$C$3*2)),0)+IF(W$6&gt;=('Platform Cost Inputs'!$C$3*3),OFFSET('Cost Calcs'!W76,0,(-'Platform Cost Inputs'!$C$3*3)),0))*'Platform Cost Inputs'!$C$2</f>
        <v>0</v>
      </c>
      <c r="X104" s="7">
        <f ca="1">(IF(X$6&gt;='Platform Cost Inputs'!$C$3,OFFSET('Cost Calcs'!X76,0,-'Platform Cost Inputs'!$C$3),0)+IF(X$6&gt;=('Platform Cost Inputs'!$C$3*2),OFFSET('Cost Calcs'!X76,0,(-'Platform Cost Inputs'!$C$3*2)),0)+IF(X$6&gt;=('Platform Cost Inputs'!$C$3*3),OFFSET('Cost Calcs'!X76,0,(-'Platform Cost Inputs'!$C$3*3)),0))*'Platform Cost Inputs'!$C$2</f>
        <v>0</v>
      </c>
      <c r="Y104" s="7">
        <f ca="1">(IF(Y$6&gt;='Platform Cost Inputs'!$C$3,OFFSET('Cost Calcs'!Y76,0,-'Platform Cost Inputs'!$C$3),0)+IF(Y$6&gt;=('Platform Cost Inputs'!$C$3*2),OFFSET('Cost Calcs'!Y76,0,(-'Platform Cost Inputs'!$C$3*2)),0)+IF(Y$6&gt;=('Platform Cost Inputs'!$C$3*3),OFFSET('Cost Calcs'!Y76,0,(-'Platform Cost Inputs'!$C$3*3)),0))*'Platform Cost Inputs'!$C$2</f>
        <v>0</v>
      </c>
      <c r="Z104" s="7">
        <f ca="1">(IF(Z$6&gt;='Platform Cost Inputs'!$C$3,OFFSET('Cost Calcs'!Z76,0,-'Platform Cost Inputs'!$C$3),0)+IF(Z$6&gt;=('Platform Cost Inputs'!$C$3*2),OFFSET('Cost Calcs'!Z76,0,(-'Platform Cost Inputs'!$C$3*2)),0)+IF(Z$6&gt;=('Platform Cost Inputs'!$C$3*3),OFFSET('Cost Calcs'!Z76,0,(-'Platform Cost Inputs'!$C$3*3)),0))*'Platform Cost Inputs'!$C$2</f>
        <v>0</v>
      </c>
    </row>
    <row r="105" spans="1:26" ht="15.75" x14ac:dyDescent="0.25">
      <c r="A105" t="s">
        <v>68</v>
      </c>
      <c r="B105" t="s">
        <v>7</v>
      </c>
      <c r="C105" s="3" t="s">
        <v>9</v>
      </c>
      <c r="D105" s="24">
        <f t="shared" ca="1" si="125"/>
        <v>0.68188972611496124</v>
      </c>
      <c r="E105" s="59">
        <f t="shared" ca="1" si="78"/>
        <v>0.96587999999999996</v>
      </c>
      <c r="F105" s="59"/>
      <c r="G105" s="7">
        <f ca="1">(IF(G$6&gt;='Platform Cost Inputs'!$C$3,OFFSET('Cost Calcs'!G77,0,-'Platform Cost Inputs'!$C$3),0)+IF(G$6&gt;=('Platform Cost Inputs'!$C$3*2),OFFSET('Cost Calcs'!G77,0,(-'Platform Cost Inputs'!$C$3*2)),0)+IF(G$6&gt;=('Platform Cost Inputs'!$C$3*3),OFFSET('Cost Calcs'!G77,0,(-'Platform Cost Inputs'!$C$3*3)),0))*'Platform Cost Inputs'!$C$2</f>
        <v>0</v>
      </c>
      <c r="H105" s="7">
        <f ca="1">(IF(H$6&gt;='Platform Cost Inputs'!$C$3,OFFSET('Cost Calcs'!H77,0,-'Platform Cost Inputs'!$C$3),0)+IF(H$6&gt;=('Platform Cost Inputs'!$C$3*2),OFFSET('Cost Calcs'!H77,0,(-'Platform Cost Inputs'!$C$3*2)),0)+IF(H$6&gt;=('Platform Cost Inputs'!$C$3*3),OFFSET('Cost Calcs'!H77,0,(-'Platform Cost Inputs'!$C$3*3)),0))*'Platform Cost Inputs'!$C$2</f>
        <v>0</v>
      </c>
      <c r="I105" s="7">
        <f ca="1">(IF(I$6&gt;='Platform Cost Inputs'!$C$3,OFFSET('Cost Calcs'!I77,0,-'Platform Cost Inputs'!$C$3),0)+IF(I$6&gt;=('Platform Cost Inputs'!$C$3*2),OFFSET('Cost Calcs'!I77,0,(-'Platform Cost Inputs'!$C$3*2)),0)+IF(I$6&gt;=('Platform Cost Inputs'!$C$3*3),OFFSET('Cost Calcs'!I77,0,(-'Platform Cost Inputs'!$C$3*3)),0))*'Platform Cost Inputs'!$C$2</f>
        <v>0</v>
      </c>
      <c r="J105" s="7">
        <f ca="1">(IF(J$6&gt;='Platform Cost Inputs'!$C$3,OFFSET('Cost Calcs'!J77,0,-'Platform Cost Inputs'!$C$3),0)+IF(J$6&gt;=('Platform Cost Inputs'!$C$3*2),OFFSET('Cost Calcs'!J77,0,(-'Platform Cost Inputs'!$C$3*2)),0)+IF(J$6&gt;=('Platform Cost Inputs'!$C$3*3),OFFSET('Cost Calcs'!J77,0,(-'Platform Cost Inputs'!$C$3*3)),0))*'Platform Cost Inputs'!$C$2</f>
        <v>0</v>
      </c>
      <c r="K105" s="7">
        <f ca="1">(IF(K$6&gt;='Platform Cost Inputs'!$C$3,OFFSET('Cost Calcs'!K77,0,-'Platform Cost Inputs'!$C$3),0)+IF(K$6&gt;=('Platform Cost Inputs'!$C$3*2),OFFSET('Cost Calcs'!K77,0,(-'Platform Cost Inputs'!$C$3*2)),0)+IF(K$6&gt;=('Platform Cost Inputs'!$C$3*3),OFFSET('Cost Calcs'!K77,0,(-'Platform Cost Inputs'!$C$3*3)),0))*'Platform Cost Inputs'!$C$2</f>
        <v>0</v>
      </c>
      <c r="L105" s="7">
        <f ca="1">(IF(L$6&gt;='Platform Cost Inputs'!$C$3,OFFSET('Cost Calcs'!L77,0,-'Platform Cost Inputs'!$C$3),0)+IF(L$6&gt;=('Platform Cost Inputs'!$C$3*2),OFFSET('Cost Calcs'!L77,0,(-'Platform Cost Inputs'!$C$3*2)),0)+IF(L$6&gt;=('Platform Cost Inputs'!$C$3*3),OFFSET('Cost Calcs'!L77,0,(-'Platform Cost Inputs'!$C$3*3)),0))*'Platform Cost Inputs'!$C$2</f>
        <v>0</v>
      </c>
      <c r="M105" s="7">
        <f ca="1">(IF(M$6&gt;='Platform Cost Inputs'!$C$3,OFFSET('Cost Calcs'!M77,0,-'Platform Cost Inputs'!$C$3),0)+IF(M$6&gt;=('Platform Cost Inputs'!$C$3*2),OFFSET('Cost Calcs'!M77,0,(-'Platform Cost Inputs'!$C$3*2)),0)+IF(M$6&gt;=('Platform Cost Inputs'!$C$3*3),OFFSET('Cost Calcs'!M77,0,(-'Platform Cost Inputs'!$C$3*3)),0))*'Platform Cost Inputs'!$C$2</f>
        <v>0</v>
      </c>
      <c r="N105" s="7">
        <f ca="1">(IF(N$6&gt;='Platform Cost Inputs'!$C$3,OFFSET('Cost Calcs'!N77,0,-'Platform Cost Inputs'!$C$3),0)+IF(N$6&gt;=('Platform Cost Inputs'!$C$3*2),OFFSET('Cost Calcs'!N77,0,(-'Platform Cost Inputs'!$C$3*2)),0)+IF(N$6&gt;=('Platform Cost Inputs'!$C$3*3),OFFSET('Cost Calcs'!N77,0,(-'Platform Cost Inputs'!$C$3*3)),0))*'Platform Cost Inputs'!$C$2</f>
        <v>0</v>
      </c>
      <c r="O105" s="7">
        <f ca="1">(IF(O$6&gt;='Platform Cost Inputs'!$C$3,OFFSET('Cost Calcs'!O77,0,-'Platform Cost Inputs'!$C$3),0)+IF(O$6&gt;=('Platform Cost Inputs'!$C$3*2),OFFSET('Cost Calcs'!O77,0,(-'Platform Cost Inputs'!$C$3*2)),0)+IF(O$6&gt;=('Platform Cost Inputs'!$C$3*3),OFFSET('Cost Calcs'!O77,0,(-'Platform Cost Inputs'!$C$3*3)),0))*'Platform Cost Inputs'!$C$2</f>
        <v>0</v>
      </c>
      <c r="P105" s="7">
        <f ca="1">(IF(P$6&gt;='Platform Cost Inputs'!$C$3,OFFSET('Cost Calcs'!P77,0,-'Platform Cost Inputs'!$C$3),0)+IF(P$6&gt;=('Platform Cost Inputs'!$C$3*2),OFFSET('Cost Calcs'!P77,0,(-'Platform Cost Inputs'!$C$3*2)),0)+IF(P$6&gt;=('Platform Cost Inputs'!$C$3*3),OFFSET('Cost Calcs'!P77,0,(-'Platform Cost Inputs'!$C$3*3)),0))*'Platform Cost Inputs'!$C$2</f>
        <v>0.48293999999999998</v>
      </c>
      <c r="Q105" s="7">
        <f ca="1">(IF(Q$6&gt;='Platform Cost Inputs'!$C$3,OFFSET('Cost Calcs'!Q77,0,-'Platform Cost Inputs'!$C$3),0)+IF(Q$6&gt;=('Platform Cost Inputs'!$C$3*2),OFFSET('Cost Calcs'!Q77,0,(-'Platform Cost Inputs'!$C$3*2)),0)+IF(Q$6&gt;=('Platform Cost Inputs'!$C$3*3),OFFSET('Cost Calcs'!Q77,0,(-'Platform Cost Inputs'!$C$3*3)),0))*'Platform Cost Inputs'!$C$2</f>
        <v>0</v>
      </c>
      <c r="R105" s="7">
        <f ca="1">(IF(R$6&gt;='Platform Cost Inputs'!$C$3,OFFSET('Cost Calcs'!R77,0,-'Platform Cost Inputs'!$C$3),0)+IF(R$6&gt;=('Platform Cost Inputs'!$C$3*2),OFFSET('Cost Calcs'!R77,0,(-'Platform Cost Inputs'!$C$3*2)),0)+IF(R$6&gt;=('Platform Cost Inputs'!$C$3*3),OFFSET('Cost Calcs'!R77,0,(-'Platform Cost Inputs'!$C$3*3)),0))*'Platform Cost Inputs'!$C$2</f>
        <v>0</v>
      </c>
      <c r="S105" s="7">
        <f ca="1">(IF(S$6&gt;='Platform Cost Inputs'!$C$3,OFFSET('Cost Calcs'!S77,0,-'Platform Cost Inputs'!$C$3),0)+IF(S$6&gt;=('Platform Cost Inputs'!$C$3*2),OFFSET('Cost Calcs'!S77,0,(-'Platform Cost Inputs'!$C$3*2)),0)+IF(S$6&gt;=('Platform Cost Inputs'!$C$3*3),OFFSET('Cost Calcs'!S77,0,(-'Platform Cost Inputs'!$C$3*3)),0))*'Platform Cost Inputs'!$C$2</f>
        <v>0</v>
      </c>
      <c r="T105" s="7">
        <f ca="1">(IF(T$6&gt;='Platform Cost Inputs'!$C$3,OFFSET('Cost Calcs'!T77,0,-'Platform Cost Inputs'!$C$3),0)+IF(T$6&gt;=('Platform Cost Inputs'!$C$3*2),OFFSET('Cost Calcs'!T77,0,(-'Platform Cost Inputs'!$C$3*2)),0)+IF(T$6&gt;=('Platform Cost Inputs'!$C$3*3),OFFSET('Cost Calcs'!T77,0,(-'Platform Cost Inputs'!$C$3*3)),0))*'Platform Cost Inputs'!$C$2</f>
        <v>0</v>
      </c>
      <c r="U105" s="7">
        <f ca="1">(IF(U$6&gt;='Platform Cost Inputs'!$C$3,OFFSET('Cost Calcs'!U77,0,-'Platform Cost Inputs'!$C$3),0)+IF(U$6&gt;=('Platform Cost Inputs'!$C$3*2),OFFSET('Cost Calcs'!U77,0,(-'Platform Cost Inputs'!$C$3*2)),0)+IF(U$6&gt;=('Platform Cost Inputs'!$C$3*3),OFFSET('Cost Calcs'!U77,0,(-'Platform Cost Inputs'!$C$3*3)),0))*'Platform Cost Inputs'!$C$2</f>
        <v>0</v>
      </c>
      <c r="V105" s="7">
        <f ca="1">(IF(V$6&gt;='Platform Cost Inputs'!$C$3,OFFSET('Cost Calcs'!V77,0,-'Platform Cost Inputs'!$C$3),0)+IF(V$6&gt;=('Platform Cost Inputs'!$C$3*2),OFFSET('Cost Calcs'!V77,0,(-'Platform Cost Inputs'!$C$3*2)),0)+IF(V$6&gt;=('Platform Cost Inputs'!$C$3*3),OFFSET('Cost Calcs'!V77,0,(-'Platform Cost Inputs'!$C$3*3)),0))*'Platform Cost Inputs'!$C$2</f>
        <v>0</v>
      </c>
      <c r="W105" s="7">
        <f ca="1">(IF(W$6&gt;='Platform Cost Inputs'!$C$3,OFFSET('Cost Calcs'!W77,0,-'Platform Cost Inputs'!$C$3),0)+IF(W$6&gt;=('Platform Cost Inputs'!$C$3*2),OFFSET('Cost Calcs'!W77,0,(-'Platform Cost Inputs'!$C$3*2)),0)+IF(W$6&gt;=('Platform Cost Inputs'!$C$3*3),OFFSET('Cost Calcs'!W77,0,(-'Platform Cost Inputs'!$C$3*3)),0))*'Platform Cost Inputs'!$C$2</f>
        <v>0.48293999999999998</v>
      </c>
      <c r="X105" s="7">
        <f ca="1">(IF(X$6&gt;='Platform Cost Inputs'!$C$3,OFFSET('Cost Calcs'!X77,0,-'Platform Cost Inputs'!$C$3),0)+IF(X$6&gt;=('Platform Cost Inputs'!$C$3*2),OFFSET('Cost Calcs'!X77,0,(-'Platform Cost Inputs'!$C$3*2)),0)+IF(X$6&gt;=('Platform Cost Inputs'!$C$3*3),OFFSET('Cost Calcs'!X77,0,(-'Platform Cost Inputs'!$C$3*3)),0))*'Platform Cost Inputs'!$C$2</f>
        <v>0</v>
      </c>
      <c r="Y105" s="7">
        <f ca="1">(IF(Y$6&gt;='Platform Cost Inputs'!$C$3,OFFSET('Cost Calcs'!Y77,0,-'Platform Cost Inputs'!$C$3),0)+IF(Y$6&gt;=('Platform Cost Inputs'!$C$3*2),OFFSET('Cost Calcs'!Y77,0,(-'Platform Cost Inputs'!$C$3*2)),0)+IF(Y$6&gt;=('Platform Cost Inputs'!$C$3*3),OFFSET('Cost Calcs'!Y77,0,(-'Platform Cost Inputs'!$C$3*3)),0))*'Platform Cost Inputs'!$C$2</f>
        <v>0</v>
      </c>
      <c r="Z105" s="7">
        <f ca="1">(IF(Z$6&gt;='Platform Cost Inputs'!$C$3,OFFSET('Cost Calcs'!Z77,0,-'Platform Cost Inputs'!$C$3),0)+IF(Z$6&gt;=('Platform Cost Inputs'!$C$3*2),OFFSET('Cost Calcs'!Z77,0,(-'Platform Cost Inputs'!$C$3*2)),0)+IF(Z$6&gt;=('Platform Cost Inputs'!$C$3*3),OFFSET('Cost Calcs'!Z77,0,(-'Platform Cost Inputs'!$C$3*3)),0))*'Platform Cost Inputs'!$C$2</f>
        <v>0</v>
      </c>
    </row>
    <row r="106" spans="1:26" ht="15.75" x14ac:dyDescent="0.25">
      <c r="A106" t="s">
        <v>98</v>
      </c>
      <c r="B106" t="s">
        <v>7</v>
      </c>
      <c r="C106" s="3" t="s">
        <v>9</v>
      </c>
      <c r="D106" s="24">
        <f t="shared" ref="D106:D108" ca="1" si="126">SUMPRODUCT(G106:Z106,G$7:Z$7)</f>
        <v>0.75558108880114572</v>
      </c>
      <c r="E106" s="59">
        <f t="shared" ca="1" si="78"/>
        <v>1.070262</v>
      </c>
      <c r="F106" s="59"/>
      <c r="G106" s="7">
        <f ca="1">(IF(G$6&gt;='Platform Cost Inputs'!$C$3,OFFSET('Cost Calcs'!G78,0,-'Platform Cost Inputs'!$C$3),0)+IF(G$6&gt;=('Platform Cost Inputs'!$C$3*2),OFFSET('Cost Calcs'!G78,0,(-'Platform Cost Inputs'!$C$3*2)),0)+IF(G$6&gt;=('Platform Cost Inputs'!$C$3*3),OFFSET('Cost Calcs'!G78,0,(-'Platform Cost Inputs'!$C$3*3)),0))*'Platform Cost Inputs'!$C$2</f>
        <v>0</v>
      </c>
      <c r="H106" s="7">
        <f ca="1">(IF(H$6&gt;='Platform Cost Inputs'!$C$3,OFFSET('Cost Calcs'!H78,0,-'Platform Cost Inputs'!$C$3),0)+IF(H$6&gt;=('Platform Cost Inputs'!$C$3*2),OFFSET('Cost Calcs'!H78,0,(-'Platform Cost Inputs'!$C$3*2)),0)+IF(H$6&gt;=('Platform Cost Inputs'!$C$3*3),OFFSET('Cost Calcs'!H78,0,(-'Platform Cost Inputs'!$C$3*3)),0))*'Platform Cost Inputs'!$C$2</f>
        <v>0</v>
      </c>
      <c r="I106" s="7">
        <f ca="1">(IF(I$6&gt;='Platform Cost Inputs'!$C$3,OFFSET('Cost Calcs'!I78,0,-'Platform Cost Inputs'!$C$3),0)+IF(I$6&gt;=('Platform Cost Inputs'!$C$3*2),OFFSET('Cost Calcs'!I78,0,(-'Platform Cost Inputs'!$C$3*2)),0)+IF(I$6&gt;=('Platform Cost Inputs'!$C$3*3),OFFSET('Cost Calcs'!I78,0,(-'Platform Cost Inputs'!$C$3*3)),0))*'Platform Cost Inputs'!$C$2</f>
        <v>0</v>
      </c>
      <c r="J106" s="7">
        <f ca="1">(IF(J$6&gt;='Platform Cost Inputs'!$C$3,OFFSET('Cost Calcs'!J78,0,-'Platform Cost Inputs'!$C$3),0)+IF(J$6&gt;=('Platform Cost Inputs'!$C$3*2),OFFSET('Cost Calcs'!J78,0,(-'Platform Cost Inputs'!$C$3*2)),0)+IF(J$6&gt;=('Platform Cost Inputs'!$C$3*3),OFFSET('Cost Calcs'!J78,0,(-'Platform Cost Inputs'!$C$3*3)),0))*'Platform Cost Inputs'!$C$2</f>
        <v>0</v>
      </c>
      <c r="K106" s="7">
        <f ca="1">(IF(K$6&gt;='Platform Cost Inputs'!$C$3,OFFSET('Cost Calcs'!K78,0,-'Platform Cost Inputs'!$C$3),0)+IF(K$6&gt;=('Platform Cost Inputs'!$C$3*2),OFFSET('Cost Calcs'!K78,0,(-'Platform Cost Inputs'!$C$3*2)),0)+IF(K$6&gt;=('Platform Cost Inputs'!$C$3*3),OFFSET('Cost Calcs'!K78,0,(-'Platform Cost Inputs'!$C$3*3)),0))*'Platform Cost Inputs'!$C$2</f>
        <v>0</v>
      </c>
      <c r="L106" s="7">
        <f ca="1">(IF(L$6&gt;='Platform Cost Inputs'!$C$3,OFFSET('Cost Calcs'!L78,0,-'Platform Cost Inputs'!$C$3),0)+IF(L$6&gt;=('Platform Cost Inputs'!$C$3*2),OFFSET('Cost Calcs'!L78,0,(-'Platform Cost Inputs'!$C$3*2)),0)+IF(L$6&gt;=('Platform Cost Inputs'!$C$3*3),OFFSET('Cost Calcs'!L78,0,(-'Platform Cost Inputs'!$C$3*3)),0))*'Platform Cost Inputs'!$C$2</f>
        <v>0</v>
      </c>
      <c r="M106" s="7">
        <f ca="1">(IF(M$6&gt;='Platform Cost Inputs'!$C$3,OFFSET('Cost Calcs'!M78,0,-'Platform Cost Inputs'!$C$3),0)+IF(M$6&gt;=('Platform Cost Inputs'!$C$3*2),OFFSET('Cost Calcs'!M78,0,(-'Platform Cost Inputs'!$C$3*2)),0)+IF(M$6&gt;=('Platform Cost Inputs'!$C$3*3),OFFSET('Cost Calcs'!M78,0,(-'Platform Cost Inputs'!$C$3*3)),0))*'Platform Cost Inputs'!$C$2</f>
        <v>0</v>
      </c>
      <c r="N106" s="7">
        <f ca="1">(IF(N$6&gt;='Platform Cost Inputs'!$C$3,OFFSET('Cost Calcs'!N78,0,-'Platform Cost Inputs'!$C$3),0)+IF(N$6&gt;=('Platform Cost Inputs'!$C$3*2),OFFSET('Cost Calcs'!N78,0,(-'Platform Cost Inputs'!$C$3*2)),0)+IF(N$6&gt;=('Platform Cost Inputs'!$C$3*3),OFFSET('Cost Calcs'!N78,0,(-'Platform Cost Inputs'!$C$3*3)),0))*'Platform Cost Inputs'!$C$2</f>
        <v>0</v>
      </c>
      <c r="O106" s="7">
        <f ca="1">(IF(O$6&gt;='Platform Cost Inputs'!$C$3,OFFSET('Cost Calcs'!O78,0,-'Platform Cost Inputs'!$C$3),0)+IF(O$6&gt;=('Platform Cost Inputs'!$C$3*2),OFFSET('Cost Calcs'!O78,0,(-'Platform Cost Inputs'!$C$3*2)),0)+IF(O$6&gt;=('Platform Cost Inputs'!$C$3*3),OFFSET('Cost Calcs'!O78,0,(-'Platform Cost Inputs'!$C$3*3)),0))*'Platform Cost Inputs'!$C$2</f>
        <v>0</v>
      </c>
      <c r="P106" s="7">
        <f ca="1">(IF(P$6&gt;='Platform Cost Inputs'!$C$3,OFFSET('Cost Calcs'!P78,0,-'Platform Cost Inputs'!$C$3),0)+IF(P$6&gt;=('Platform Cost Inputs'!$C$3*2),OFFSET('Cost Calcs'!P78,0,(-'Platform Cost Inputs'!$C$3*2)),0)+IF(P$6&gt;=('Platform Cost Inputs'!$C$3*3),OFFSET('Cost Calcs'!P78,0,(-'Platform Cost Inputs'!$C$3*3)),0))*'Platform Cost Inputs'!$C$2</f>
        <v>0.53513100000000002</v>
      </c>
      <c r="Q106" s="7">
        <f ca="1">(IF(Q$6&gt;='Platform Cost Inputs'!$C$3,OFFSET('Cost Calcs'!Q78,0,-'Platform Cost Inputs'!$C$3),0)+IF(Q$6&gt;=('Platform Cost Inputs'!$C$3*2),OFFSET('Cost Calcs'!Q78,0,(-'Platform Cost Inputs'!$C$3*2)),0)+IF(Q$6&gt;=('Platform Cost Inputs'!$C$3*3),OFFSET('Cost Calcs'!Q78,0,(-'Platform Cost Inputs'!$C$3*3)),0))*'Platform Cost Inputs'!$C$2</f>
        <v>0</v>
      </c>
      <c r="R106" s="7">
        <f ca="1">(IF(R$6&gt;='Platform Cost Inputs'!$C$3,OFFSET('Cost Calcs'!R78,0,-'Platform Cost Inputs'!$C$3),0)+IF(R$6&gt;=('Platform Cost Inputs'!$C$3*2),OFFSET('Cost Calcs'!R78,0,(-'Platform Cost Inputs'!$C$3*2)),0)+IF(R$6&gt;=('Platform Cost Inputs'!$C$3*3),OFFSET('Cost Calcs'!R78,0,(-'Platform Cost Inputs'!$C$3*3)),0))*'Platform Cost Inputs'!$C$2</f>
        <v>0</v>
      </c>
      <c r="S106" s="7">
        <f ca="1">(IF(S$6&gt;='Platform Cost Inputs'!$C$3,OFFSET('Cost Calcs'!S78,0,-'Platform Cost Inputs'!$C$3),0)+IF(S$6&gt;=('Platform Cost Inputs'!$C$3*2),OFFSET('Cost Calcs'!S78,0,(-'Platform Cost Inputs'!$C$3*2)),0)+IF(S$6&gt;=('Platform Cost Inputs'!$C$3*3),OFFSET('Cost Calcs'!S78,0,(-'Platform Cost Inputs'!$C$3*3)),0))*'Platform Cost Inputs'!$C$2</f>
        <v>0</v>
      </c>
      <c r="T106" s="7">
        <f ca="1">(IF(T$6&gt;='Platform Cost Inputs'!$C$3,OFFSET('Cost Calcs'!T78,0,-'Platform Cost Inputs'!$C$3),0)+IF(T$6&gt;=('Platform Cost Inputs'!$C$3*2),OFFSET('Cost Calcs'!T78,0,(-'Platform Cost Inputs'!$C$3*2)),0)+IF(T$6&gt;=('Platform Cost Inputs'!$C$3*3),OFFSET('Cost Calcs'!T78,0,(-'Platform Cost Inputs'!$C$3*3)),0))*'Platform Cost Inputs'!$C$2</f>
        <v>0</v>
      </c>
      <c r="U106" s="7">
        <f ca="1">(IF(U$6&gt;='Platform Cost Inputs'!$C$3,OFFSET('Cost Calcs'!U78,0,-'Platform Cost Inputs'!$C$3),0)+IF(U$6&gt;=('Platform Cost Inputs'!$C$3*2),OFFSET('Cost Calcs'!U78,0,(-'Platform Cost Inputs'!$C$3*2)),0)+IF(U$6&gt;=('Platform Cost Inputs'!$C$3*3),OFFSET('Cost Calcs'!U78,0,(-'Platform Cost Inputs'!$C$3*3)),0))*'Platform Cost Inputs'!$C$2</f>
        <v>0</v>
      </c>
      <c r="V106" s="7">
        <f ca="1">(IF(V$6&gt;='Platform Cost Inputs'!$C$3,OFFSET('Cost Calcs'!V78,0,-'Platform Cost Inputs'!$C$3),0)+IF(V$6&gt;=('Platform Cost Inputs'!$C$3*2),OFFSET('Cost Calcs'!V78,0,(-'Platform Cost Inputs'!$C$3*2)),0)+IF(V$6&gt;=('Platform Cost Inputs'!$C$3*3),OFFSET('Cost Calcs'!V78,0,(-'Platform Cost Inputs'!$C$3*3)),0))*'Platform Cost Inputs'!$C$2</f>
        <v>0</v>
      </c>
      <c r="W106" s="7">
        <f ca="1">(IF(W$6&gt;='Platform Cost Inputs'!$C$3,OFFSET('Cost Calcs'!W78,0,-'Platform Cost Inputs'!$C$3),0)+IF(W$6&gt;=('Platform Cost Inputs'!$C$3*2),OFFSET('Cost Calcs'!W78,0,(-'Platform Cost Inputs'!$C$3*2)),0)+IF(W$6&gt;=('Platform Cost Inputs'!$C$3*3),OFFSET('Cost Calcs'!W78,0,(-'Platform Cost Inputs'!$C$3*3)),0))*'Platform Cost Inputs'!$C$2</f>
        <v>0.53513100000000002</v>
      </c>
      <c r="X106" s="7">
        <f ca="1">(IF(X$6&gt;='Platform Cost Inputs'!$C$3,OFFSET('Cost Calcs'!X78,0,-'Platform Cost Inputs'!$C$3),0)+IF(X$6&gt;=('Platform Cost Inputs'!$C$3*2),OFFSET('Cost Calcs'!X78,0,(-'Platform Cost Inputs'!$C$3*2)),0)+IF(X$6&gt;=('Platform Cost Inputs'!$C$3*3),OFFSET('Cost Calcs'!X78,0,(-'Platform Cost Inputs'!$C$3*3)),0))*'Platform Cost Inputs'!$C$2</f>
        <v>0</v>
      </c>
      <c r="Y106" s="7">
        <f ca="1">(IF(Y$6&gt;='Platform Cost Inputs'!$C$3,OFFSET('Cost Calcs'!Y78,0,-'Platform Cost Inputs'!$C$3),0)+IF(Y$6&gt;=('Platform Cost Inputs'!$C$3*2),OFFSET('Cost Calcs'!Y78,0,(-'Platform Cost Inputs'!$C$3*2)),0)+IF(Y$6&gt;=('Platform Cost Inputs'!$C$3*3),OFFSET('Cost Calcs'!Y78,0,(-'Platform Cost Inputs'!$C$3*3)),0))*'Platform Cost Inputs'!$C$2</f>
        <v>0</v>
      </c>
      <c r="Z106" s="7">
        <f ca="1">(IF(Z$6&gt;='Platform Cost Inputs'!$C$3,OFFSET('Cost Calcs'!Z78,0,-'Platform Cost Inputs'!$C$3),0)+IF(Z$6&gt;=('Platform Cost Inputs'!$C$3*2),OFFSET('Cost Calcs'!Z78,0,(-'Platform Cost Inputs'!$C$3*2)),0)+IF(Z$6&gt;=('Platform Cost Inputs'!$C$3*3),OFFSET('Cost Calcs'!Z78,0,(-'Platform Cost Inputs'!$C$3*3)),0))*'Platform Cost Inputs'!$C$2</f>
        <v>0</v>
      </c>
    </row>
    <row r="107" spans="1:26" ht="15.75" x14ac:dyDescent="0.25">
      <c r="A107" t="s">
        <v>320</v>
      </c>
      <c r="B107" t="s">
        <v>7</v>
      </c>
      <c r="C107" s="3" t="s">
        <v>9</v>
      </c>
      <c r="D107" s="24">
        <f t="shared" ca="1" si="126"/>
        <v>0.74824033283545277</v>
      </c>
      <c r="E107" s="59">
        <f t="shared" ca="1" si="78"/>
        <v>1.0598639999999999</v>
      </c>
      <c r="F107" s="59"/>
      <c r="G107" s="7">
        <f ca="1">(IF(G$6&gt;='Platform Cost Inputs'!$C$3,OFFSET('Cost Calcs'!G79,0,-'Platform Cost Inputs'!$C$3),0)+IF(G$6&gt;=('Platform Cost Inputs'!$C$3*2),OFFSET('Cost Calcs'!G79,0,(-'Platform Cost Inputs'!$C$3*2)),0)+IF(G$6&gt;=('Platform Cost Inputs'!$C$3*3),OFFSET('Cost Calcs'!G79,0,(-'Platform Cost Inputs'!$C$3*3)),0))*'Platform Cost Inputs'!$C$2</f>
        <v>0</v>
      </c>
      <c r="H107" s="7">
        <f ca="1">(IF(H$6&gt;='Platform Cost Inputs'!$C$3,OFFSET('Cost Calcs'!H79,0,-'Platform Cost Inputs'!$C$3),0)+IF(H$6&gt;=('Platform Cost Inputs'!$C$3*2),OFFSET('Cost Calcs'!H79,0,(-'Platform Cost Inputs'!$C$3*2)),0)+IF(H$6&gt;=('Platform Cost Inputs'!$C$3*3),OFFSET('Cost Calcs'!H79,0,(-'Platform Cost Inputs'!$C$3*3)),0))*'Platform Cost Inputs'!$C$2</f>
        <v>0</v>
      </c>
      <c r="I107" s="7">
        <f ca="1">(IF(I$6&gt;='Platform Cost Inputs'!$C$3,OFFSET('Cost Calcs'!I79,0,-'Platform Cost Inputs'!$C$3),0)+IF(I$6&gt;=('Platform Cost Inputs'!$C$3*2),OFFSET('Cost Calcs'!I79,0,(-'Platform Cost Inputs'!$C$3*2)),0)+IF(I$6&gt;=('Platform Cost Inputs'!$C$3*3),OFFSET('Cost Calcs'!I79,0,(-'Platform Cost Inputs'!$C$3*3)),0))*'Platform Cost Inputs'!$C$2</f>
        <v>0</v>
      </c>
      <c r="J107" s="7">
        <f ca="1">(IF(J$6&gt;='Platform Cost Inputs'!$C$3,OFFSET('Cost Calcs'!J79,0,-'Platform Cost Inputs'!$C$3),0)+IF(J$6&gt;=('Platform Cost Inputs'!$C$3*2),OFFSET('Cost Calcs'!J79,0,(-'Platform Cost Inputs'!$C$3*2)),0)+IF(J$6&gt;=('Platform Cost Inputs'!$C$3*3),OFFSET('Cost Calcs'!J79,0,(-'Platform Cost Inputs'!$C$3*3)),0))*'Platform Cost Inputs'!$C$2</f>
        <v>0</v>
      </c>
      <c r="K107" s="7">
        <f ca="1">(IF(K$6&gt;='Platform Cost Inputs'!$C$3,OFFSET('Cost Calcs'!K79,0,-'Platform Cost Inputs'!$C$3),0)+IF(K$6&gt;=('Platform Cost Inputs'!$C$3*2),OFFSET('Cost Calcs'!K79,0,(-'Platform Cost Inputs'!$C$3*2)),0)+IF(K$6&gt;=('Platform Cost Inputs'!$C$3*3),OFFSET('Cost Calcs'!K79,0,(-'Platform Cost Inputs'!$C$3*3)),0))*'Platform Cost Inputs'!$C$2</f>
        <v>0</v>
      </c>
      <c r="L107" s="7">
        <f ca="1">(IF(L$6&gt;='Platform Cost Inputs'!$C$3,OFFSET('Cost Calcs'!L79,0,-'Platform Cost Inputs'!$C$3),0)+IF(L$6&gt;=('Platform Cost Inputs'!$C$3*2),OFFSET('Cost Calcs'!L79,0,(-'Platform Cost Inputs'!$C$3*2)),0)+IF(L$6&gt;=('Platform Cost Inputs'!$C$3*3),OFFSET('Cost Calcs'!L79,0,(-'Platform Cost Inputs'!$C$3*3)),0))*'Platform Cost Inputs'!$C$2</f>
        <v>0</v>
      </c>
      <c r="M107" s="7">
        <f ca="1">(IF(M$6&gt;='Platform Cost Inputs'!$C$3,OFFSET('Cost Calcs'!M79,0,-'Platform Cost Inputs'!$C$3),0)+IF(M$6&gt;=('Platform Cost Inputs'!$C$3*2),OFFSET('Cost Calcs'!M79,0,(-'Platform Cost Inputs'!$C$3*2)),0)+IF(M$6&gt;=('Platform Cost Inputs'!$C$3*3),OFFSET('Cost Calcs'!M79,0,(-'Platform Cost Inputs'!$C$3*3)),0))*'Platform Cost Inputs'!$C$2</f>
        <v>0</v>
      </c>
      <c r="N107" s="7">
        <f ca="1">(IF(N$6&gt;='Platform Cost Inputs'!$C$3,OFFSET('Cost Calcs'!N79,0,-'Platform Cost Inputs'!$C$3),0)+IF(N$6&gt;=('Platform Cost Inputs'!$C$3*2),OFFSET('Cost Calcs'!N79,0,(-'Platform Cost Inputs'!$C$3*2)),0)+IF(N$6&gt;=('Platform Cost Inputs'!$C$3*3),OFFSET('Cost Calcs'!N79,0,(-'Platform Cost Inputs'!$C$3*3)),0))*'Platform Cost Inputs'!$C$2</f>
        <v>0</v>
      </c>
      <c r="O107" s="7">
        <f ca="1">(IF(O$6&gt;='Platform Cost Inputs'!$C$3,OFFSET('Cost Calcs'!O79,0,-'Platform Cost Inputs'!$C$3),0)+IF(O$6&gt;=('Platform Cost Inputs'!$C$3*2),OFFSET('Cost Calcs'!O79,0,(-'Platform Cost Inputs'!$C$3*2)),0)+IF(O$6&gt;=('Platform Cost Inputs'!$C$3*3),OFFSET('Cost Calcs'!O79,0,(-'Platform Cost Inputs'!$C$3*3)),0))*'Platform Cost Inputs'!$C$2</f>
        <v>0</v>
      </c>
      <c r="P107" s="7">
        <f ca="1">(IF(P$6&gt;='Platform Cost Inputs'!$C$3,OFFSET('Cost Calcs'!P79,0,-'Platform Cost Inputs'!$C$3),0)+IF(P$6&gt;=('Platform Cost Inputs'!$C$3*2),OFFSET('Cost Calcs'!P79,0,(-'Platform Cost Inputs'!$C$3*2)),0)+IF(P$6&gt;=('Platform Cost Inputs'!$C$3*3),OFFSET('Cost Calcs'!P79,0,(-'Platform Cost Inputs'!$C$3*3)),0))*'Platform Cost Inputs'!$C$2</f>
        <v>0.52993199999999996</v>
      </c>
      <c r="Q107" s="7">
        <f ca="1">(IF(Q$6&gt;='Platform Cost Inputs'!$C$3,OFFSET('Cost Calcs'!Q79,0,-'Platform Cost Inputs'!$C$3),0)+IF(Q$6&gt;=('Platform Cost Inputs'!$C$3*2),OFFSET('Cost Calcs'!Q79,0,(-'Platform Cost Inputs'!$C$3*2)),0)+IF(Q$6&gt;=('Platform Cost Inputs'!$C$3*3),OFFSET('Cost Calcs'!Q79,0,(-'Platform Cost Inputs'!$C$3*3)),0))*'Platform Cost Inputs'!$C$2</f>
        <v>0</v>
      </c>
      <c r="R107" s="7">
        <f ca="1">(IF(R$6&gt;='Platform Cost Inputs'!$C$3,OFFSET('Cost Calcs'!R79,0,-'Platform Cost Inputs'!$C$3),0)+IF(R$6&gt;=('Platform Cost Inputs'!$C$3*2),OFFSET('Cost Calcs'!R79,0,(-'Platform Cost Inputs'!$C$3*2)),0)+IF(R$6&gt;=('Platform Cost Inputs'!$C$3*3),OFFSET('Cost Calcs'!R79,0,(-'Platform Cost Inputs'!$C$3*3)),0))*'Platform Cost Inputs'!$C$2</f>
        <v>0</v>
      </c>
      <c r="S107" s="7">
        <f ca="1">(IF(S$6&gt;='Platform Cost Inputs'!$C$3,OFFSET('Cost Calcs'!S79,0,-'Platform Cost Inputs'!$C$3),0)+IF(S$6&gt;=('Platform Cost Inputs'!$C$3*2),OFFSET('Cost Calcs'!S79,0,(-'Platform Cost Inputs'!$C$3*2)),0)+IF(S$6&gt;=('Platform Cost Inputs'!$C$3*3),OFFSET('Cost Calcs'!S79,0,(-'Platform Cost Inputs'!$C$3*3)),0))*'Platform Cost Inputs'!$C$2</f>
        <v>0</v>
      </c>
      <c r="T107" s="7">
        <f ca="1">(IF(T$6&gt;='Platform Cost Inputs'!$C$3,OFFSET('Cost Calcs'!T79,0,-'Platform Cost Inputs'!$C$3),0)+IF(T$6&gt;=('Platform Cost Inputs'!$C$3*2),OFFSET('Cost Calcs'!T79,0,(-'Platform Cost Inputs'!$C$3*2)),0)+IF(T$6&gt;=('Platform Cost Inputs'!$C$3*3),OFFSET('Cost Calcs'!T79,0,(-'Platform Cost Inputs'!$C$3*3)),0))*'Platform Cost Inputs'!$C$2</f>
        <v>0</v>
      </c>
      <c r="U107" s="7">
        <f ca="1">(IF(U$6&gt;='Platform Cost Inputs'!$C$3,OFFSET('Cost Calcs'!U79,0,-'Platform Cost Inputs'!$C$3),0)+IF(U$6&gt;=('Platform Cost Inputs'!$C$3*2),OFFSET('Cost Calcs'!U79,0,(-'Platform Cost Inputs'!$C$3*2)),0)+IF(U$6&gt;=('Platform Cost Inputs'!$C$3*3),OFFSET('Cost Calcs'!U79,0,(-'Platform Cost Inputs'!$C$3*3)),0))*'Platform Cost Inputs'!$C$2</f>
        <v>0</v>
      </c>
      <c r="V107" s="7">
        <f ca="1">(IF(V$6&gt;='Platform Cost Inputs'!$C$3,OFFSET('Cost Calcs'!V79,0,-'Platform Cost Inputs'!$C$3),0)+IF(V$6&gt;=('Platform Cost Inputs'!$C$3*2),OFFSET('Cost Calcs'!V79,0,(-'Platform Cost Inputs'!$C$3*2)),0)+IF(V$6&gt;=('Platform Cost Inputs'!$C$3*3),OFFSET('Cost Calcs'!V79,0,(-'Platform Cost Inputs'!$C$3*3)),0))*'Platform Cost Inputs'!$C$2</f>
        <v>0</v>
      </c>
      <c r="W107" s="7">
        <f ca="1">(IF(W$6&gt;='Platform Cost Inputs'!$C$3,OFFSET('Cost Calcs'!W79,0,-'Platform Cost Inputs'!$C$3),0)+IF(W$6&gt;=('Platform Cost Inputs'!$C$3*2),OFFSET('Cost Calcs'!W79,0,(-'Platform Cost Inputs'!$C$3*2)),0)+IF(W$6&gt;=('Platform Cost Inputs'!$C$3*3),OFFSET('Cost Calcs'!W79,0,(-'Platform Cost Inputs'!$C$3*3)),0))*'Platform Cost Inputs'!$C$2</f>
        <v>0.52993199999999996</v>
      </c>
      <c r="X107" s="7">
        <f ca="1">(IF(X$6&gt;='Platform Cost Inputs'!$C$3,OFFSET('Cost Calcs'!X79,0,-'Platform Cost Inputs'!$C$3),0)+IF(X$6&gt;=('Platform Cost Inputs'!$C$3*2),OFFSET('Cost Calcs'!X79,0,(-'Platform Cost Inputs'!$C$3*2)),0)+IF(X$6&gt;=('Platform Cost Inputs'!$C$3*3),OFFSET('Cost Calcs'!X79,0,(-'Platform Cost Inputs'!$C$3*3)),0))*'Platform Cost Inputs'!$C$2</f>
        <v>0</v>
      </c>
      <c r="Y107" s="7">
        <f ca="1">(IF(Y$6&gt;='Platform Cost Inputs'!$C$3,OFFSET('Cost Calcs'!Y79,0,-'Platform Cost Inputs'!$C$3),0)+IF(Y$6&gt;=('Platform Cost Inputs'!$C$3*2),OFFSET('Cost Calcs'!Y79,0,(-'Platform Cost Inputs'!$C$3*2)),0)+IF(Y$6&gt;=('Platform Cost Inputs'!$C$3*3),OFFSET('Cost Calcs'!Y79,0,(-'Platform Cost Inputs'!$C$3*3)),0))*'Platform Cost Inputs'!$C$2</f>
        <v>0</v>
      </c>
      <c r="Z107" s="7">
        <f ca="1">(IF(Z$6&gt;='Platform Cost Inputs'!$C$3,OFFSET('Cost Calcs'!Z79,0,-'Platform Cost Inputs'!$C$3),0)+IF(Z$6&gt;=('Platform Cost Inputs'!$C$3*2),OFFSET('Cost Calcs'!Z79,0,(-'Platform Cost Inputs'!$C$3*2)),0)+IF(Z$6&gt;=('Platform Cost Inputs'!$C$3*3),OFFSET('Cost Calcs'!Z79,0,(-'Platform Cost Inputs'!$C$3*3)),0))*'Platform Cost Inputs'!$C$2</f>
        <v>0</v>
      </c>
    </row>
    <row r="108" spans="1:26" ht="15.75" x14ac:dyDescent="0.25">
      <c r="A108" t="s">
        <v>322</v>
      </c>
      <c r="B108" t="s">
        <v>7</v>
      </c>
      <c r="C108" s="3" t="s">
        <v>9</v>
      </c>
      <c r="D108" s="24">
        <f t="shared" ca="1" si="126"/>
        <v>0.7154087752470224</v>
      </c>
      <c r="E108" s="59">
        <f t="shared" ca="1" si="78"/>
        <v>1.06986</v>
      </c>
      <c r="F108" s="59"/>
      <c r="G108" s="7">
        <f ca="1">(IF(G$6&gt;='Platform Cost Inputs'!$C$3,OFFSET('Cost Calcs'!G80,0,-'Platform Cost Inputs'!$C$3),0)+IF(G$6&gt;=('Platform Cost Inputs'!$C$3*2),OFFSET('Cost Calcs'!G80,0,(-'Platform Cost Inputs'!$C$3*2)),0)+IF(G$6&gt;=('Platform Cost Inputs'!$C$3*3),OFFSET('Cost Calcs'!G80,0,(-'Platform Cost Inputs'!$C$3*3)),0))*'Platform Cost Inputs'!$C$2</f>
        <v>0</v>
      </c>
      <c r="H108" s="7">
        <f ca="1">(IF(H$6&gt;='Platform Cost Inputs'!$C$3,OFFSET('Cost Calcs'!H80,0,-'Platform Cost Inputs'!$C$3),0)+IF(H$6&gt;=('Platform Cost Inputs'!$C$3*2),OFFSET('Cost Calcs'!H80,0,(-'Platform Cost Inputs'!$C$3*2)),0)+IF(H$6&gt;=('Platform Cost Inputs'!$C$3*3),OFFSET('Cost Calcs'!H80,0,(-'Platform Cost Inputs'!$C$3*3)),0))*'Platform Cost Inputs'!$C$2</f>
        <v>0</v>
      </c>
      <c r="I108" s="7">
        <f ca="1">(IF(I$6&gt;='Platform Cost Inputs'!$C$3,OFFSET('Cost Calcs'!I80,0,-'Platform Cost Inputs'!$C$3),0)+IF(I$6&gt;=('Platform Cost Inputs'!$C$3*2),OFFSET('Cost Calcs'!I80,0,(-'Platform Cost Inputs'!$C$3*2)),0)+IF(I$6&gt;=('Platform Cost Inputs'!$C$3*3),OFFSET('Cost Calcs'!I80,0,(-'Platform Cost Inputs'!$C$3*3)),0))*'Platform Cost Inputs'!$C$2</f>
        <v>0</v>
      </c>
      <c r="J108" s="7">
        <f ca="1">(IF(J$6&gt;='Platform Cost Inputs'!$C$3,OFFSET('Cost Calcs'!J80,0,-'Platform Cost Inputs'!$C$3),0)+IF(J$6&gt;=('Platform Cost Inputs'!$C$3*2),OFFSET('Cost Calcs'!J80,0,(-'Platform Cost Inputs'!$C$3*2)),0)+IF(J$6&gt;=('Platform Cost Inputs'!$C$3*3),OFFSET('Cost Calcs'!J80,0,(-'Platform Cost Inputs'!$C$3*3)),0))*'Platform Cost Inputs'!$C$2</f>
        <v>0</v>
      </c>
      <c r="K108" s="7">
        <f ca="1">(IF(K$6&gt;='Platform Cost Inputs'!$C$3,OFFSET('Cost Calcs'!K80,0,-'Platform Cost Inputs'!$C$3),0)+IF(K$6&gt;=('Platform Cost Inputs'!$C$3*2),OFFSET('Cost Calcs'!K80,0,(-'Platform Cost Inputs'!$C$3*2)),0)+IF(K$6&gt;=('Platform Cost Inputs'!$C$3*3),OFFSET('Cost Calcs'!K80,0,(-'Platform Cost Inputs'!$C$3*3)),0))*'Platform Cost Inputs'!$C$2</f>
        <v>0</v>
      </c>
      <c r="L108" s="7">
        <f ca="1">(IF(L$6&gt;='Platform Cost Inputs'!$C$3,OFFSET('Cost Calcs'!L80,0,-'Platform Cost Inputs'!$C$3),0)+IF(L$6&gt;=('Platform Cost Inputs'!$C$3*2),OFFSET('Cost Calcs'!L80,0,(-'Platform Cost Inputs'!$C$3*2)),0)+IF(L$6&gt;=('Platform Cost Inputs'!$C$3*3),OFFSET('Cost Calcs'!L80,0,(-'Platform Cost Inputs'!$C$3*3)),0))*'Platform Cost Inputs'!$C$2</f>
        <v>0</v>
      </c>
      <c r="M108" s="7">
        <f ca="1">(IF(M$6&gt;='Platform Cost Inputs'!$C$3,OFFSET('Cost Calcs'!M80,0,-'Platform Cost Inputs'!$C$3),0)+IF(M$6&gt;=('Platform Cost Inputs'!$C$3*2),OFFSET('Cost Calcs'!M80,0,(-'Platform Cost Inputs'!$C$3*2)),0)+IF(M$6&gt;=('Platform Cost Inputs'!$C$3*3),OFFSET('Cost Calcs'!M80,0,(-'Platform Cost Inputs'!$C$3*3)),0))*'Platform Cost Inputs'!$C$2</f>
        <v>0</v>
      </c>
      <c r="N108" s="7">
        <f ca="1">(IF(N$6&gt;='Platform Cost Inputs'!$C$3,OFFSET('Cost Calcs'!N80,0,-'Platform Cost Inputs'!$C$3),0)+IF(N$6&gt;=('Platform Cost Inputs'!$C$3*2),OFFSET('Cost Calcs'!N80,0,(-'Platform Cost Inputs'!$C$3*2)),0)+IF(N$6&gt;=('Platform Cost Inputs'!$C$3*3),OFFSET('Cost Calcs'!N80,0,(-'Platform Cost Inputs'!$C$3*3)),0))*'Platform Cost Inputs'!$C$2</f>
        <v>0</v>
      </c>
      <c r="O108" s="7">
        <f ca="1">(IF(O$6&gt;='Platform Cost Inputs'!$C$3,OFFSET('Cost Calcs'!O80,0,-'Platform Cost Inputs'!$C$3),0)+IF(O$6&gt;=('Platform Cost Inputs'!$C$3*2),OFFSET('Cost Calcs'!O80,0,(-'Platform Cost Inputs'!$C$3*2)),0)+IF(O$6&gt;=('Platform Cost Inputs'!$C$3*3),OFFSET('Cost Calcs'!O80,0,(-'Platform Cost Inputs'!$C$3*3)),0))*'Platform Cost Inputs'!$C$2</f>
        <v>0</v>
      </c>
      <c r="P108" s="7">
        <f ca="1">(IF(P$6&gt;='Platform Cost Inputs'!$C$3,OFFSET('Cost Calcs'!P80,0,-'Platform Cost Inputs'!$C$3),0)+IF(P$6&gt;=('Platform Cost Inputs'!$C$3*2),OFFSET('Cost Calcs'!P80,0,(-'Platform Cost Inputs'!$C$3*2)),0)+IF(P$6&gt;=('Platform Cost Inputs'!$C$3*3),OFFSET('Cost Calcs'!P80,0,(-'Platform Cost Inputs'!$C$3*3)),0))*'Platform Cost Inputs'!$C$2</f>
        <v>0</v>
      </c>
      <c r="Q108" s="7">
        <f ca="1">(IF(Q$6&gt;='Platform Cost Inputs'!$C$3,OFFSET('Cost Calcs'!Q80,0,-'Platform Cost Inputs'!$C$3),0)+IF(Q$6&gt;=('Platform Cost Inputs'!$C$3*2),OFFSET('Cost Calcs'!Q80,0,(-'Platform Cost Inputs'!$C$3*2)),0)+IF(Q$6&gt;=('Platform Cost Inputs'!$C$3*3),OFFSET('Cost Calcs'!Q80,0,(-'Platform Cost Inputs'!$C$3*3)),0))*'Platform Cost Inputs'!$C$2</f>
        <v>0</v>
      </c>
      <c r="R108" s="7">
        <f ca="1">(IF(R$6&gt;='Platform Cost Inputs'!$C$3,OFFSET('Cost Calcs'!R80,0,-'Platform Cost Inputs'!$C$3),0)+IF(R$6&gt;=('Platform Cost Inputs'!$C$3*2),OFFSET('Cost Calcs'!R80,0,(-'Platform Cost Inputs'!$C$3*2)),0)+IF(R$6&gt;=('Platform Cost Inputs'!$C$3*3),OFFSET('Cost Calcs'!R80,0,(-'Platform Cost Inputs'!$C$3*3)),0))*'Platform Cost Inputs'!$C$2</f>
        <v>0.53493000000000002</v>
      </c>
      <c r="S108" s="7">
        <f ca="1">(IF(S$6&gt;='Platform Cost Inputs'!$C$3,OFFSET('Cost Calcs'!S80,0,-'Platform Cost Inputs'!$C$3),0)+IF(S$6&gt;=('Platform Cost Inputs'!$C$3*2),OFFSET('Cost Calcs'!S80,0,(-'Platform Cost Inputs'!$C$3*2)),0)+IF(S$6&gt;=('Platform Cost Inputs'!$C$3*3),OFFSET('Cost Calcs'!S80,0,(-'Platform Cost Inputs'!$C$3*3)),0))*'Platform Cost Inputs'!$C$2</f>
        <v>0</v>
      </c>
      <c r="T108" s="7">
        <f ca="1">(IF(T$6&gt;='Platform Cost Inputs'!$C$3,OFFSET('Cost Calcs'!T80,0,-'Platform Cost Inputs'!$C$3),0)+IF(T$6&gt;=('Platform Cost Inputs'!$C$3*2),OFFSET('Cost Calcs'!T80,0,(-'Platform Cost Inputs'!$C$3*2)),0)+IF(T$6&gt;=('Platform Cost Inputs'!$C$3*3),OFFSET('Cost Calcs'!T80,0,(-'Platform Cost Inputs'!$C$3*3)),0))*'Platform Cost Inputs'!$C$2</f>
        <v>0</v>
      </c>
      <c r="U108" s="7">
        <f ca="1">(IF(U$6&gt;='Platform Cost Inputs'!$C$3,OFFSET('Cost Calcs'!U80,0,-'Platform Cost Inputs'!$C$3),0)+IF(U$6&gt;=('Platform Cost Inputs'!$C$3*2),OFFSET('Cost Calcs'!U80,0,(-'Platform Cost Inputs'!$C$3*2)),0)+IF(U$6&gt;=('Platform Cost Inputs'!$C$3*3),OFFSET('Cost Calcs'!U80,0,(-'Platform Cost Inputs'!$C$3*3)),0))*'Platform Cost Inputs'!$C$2</f>
        <v>0</v>
      </c>
      <c r="V108" s="7">
        <f ca="1">(IF(V$6&gt;='Platform Cost Inputs'!$C$3,OFFSET('Cost Calcs'!V80,0,-'Platform Cost Inputs'!$C$3),0)+IF(V$6&gt;=('Platform Cost Inputs'!$C$3*2),OFFSET('Cost Calcs'!V80,0,(-'Platform Cost Inputs'!$C$3*2)),0)+IF(V$6&gt;=('Platform Cost Inputs'!$C$3*3),OFFSET('Cost Calcs'!V80,0,(-'Platform Cost Inputs'!$C$3*3)),0))*'Platform Cost Inputs'!$C$2</f>
        <v>0</v>
      </c>
      <c r="W108" s="7">
        <f ca="1">(IF(W$6&gt;='Platform Cost Inputs'!$C$3,OFFSET('Cost Calcs'!W80,0,-'Platform Cost Inputs'!$C$3),0)+IF(W$6&gt;=('Platform Cost Inputs'!$C$3*2),OFFSET('Cost Calcs'!W80,0,(-'Platform Cost Inputs'!$C$3*2)),0)+IF(W$6&gt;=('Platform Cost Inputs'!$C$3*3),OFFSET('Cost Calcs'!W80,0,(-'Platform Cost Inputs'!$C$3*3)),0))*'Platform Cost Inputs'!$C$2</f>
        <v>0</v>
      </c>
      <c r="X108" s="7">
        <f ca="1">(IF(X$6&gt;='Platform Cost Inputs'!$C$3,OFFSET('Cost Calcs'!X80,0,-'Platform Cost Inputs'!$C$3),0)+IF(X$6&gt;=('Platform Cost Inputs'!$C$3*2),OFFSET('Cost Calcs'!X80,0,(-'Platform Cost Inputs'!$C$3*2)),0)+IF(X$6&gt;=('Platform Cost Inputs'!$C$3*3),OFFSET('Cost Calcs'!X80,0,(-'Platform Cost Inputs'!$C$3*3)),0))*'Platform Cost Inputs'!$C$2</f>
        <v>0</v>
      </c>
      <c r="Y108" s="7">
        <f ca="1">(IF(Y$6&gt;='Platform Cost Inputs'!$C$3,OFFSET('Cost Calcs'!Y80,0,-'Platform Cost Inputs'!$C$3),0)+IF(Y$6&gt;=('Platform Cost Inputs'!$C$3*2),OFFSET('Cost Calcs'!Y80,0,(-'Platform Cost Inputs'!$C$3*2)),0)+IF(Y$6&gt;=('Platform Cost Inputs'!$C$3*3),OFFSET('Cost Calcs'!Y80,0,(-'Platform Cost Inputs'!$C$3*3)),0))*'Platform Cost Inputs'!$C$2</f>
        <v>0.53493000000000002</v>
      </c>
      <c r="Z108" s="7">
        <f ca="1">(IF(Z$6&gt;='Platform Cost Inputs'!$C$3,OFFSET('Cost Calcs'!Z80,0,-'Platform Cost Inputs'!$C$3),0)+IF(Z$6&gt;=('Platform Cost Inputs'!$C$3*2),OFFSET('Cost Calcs'!Z80,0,(-'Platform Cost Inputs'!$C$3*2)),0)+IF(Z$6&gt;=('Platform Cost Inputs'!$C$3*3),OFFSET('Cost Calcs'!Z80,0,(-'Platform Cost Inputs'!$C$3*3)),0))*'Platform Cost Inputs'!$C$2</f>
        <v>0</v>
      </c>
    </row>
    <row r="109" spans="1:26" s="1" customFormat="1" ht="15.75" x14ac:dyDescent="0.25">
      <c r="A109" s="211" t="s">
        <v>339</v>
      </c>
      <c r="B109" s="211" t="s">
        <v>7</v>
      </c>
      <c r="C109" s="212" t="str">
        <f>C108</f>
        <v>NPV</v>
      </c>
      <c r="D109" s="213">
        <f ca="1">SUM(D98:D108)</f>
        <v>15.177112941916294</v>
      </c>
      <c r="E109" s="214">
        <f ca="1">SUM(E98:E108)</f>
        <v>21.038312999999999</v>
      </c>
      <c r="F109" s="214"/>
      <c r="G109" s="215">
        <f ca="1">SUM(G98:G108)</f>
        <v>0</v>
      </c>
      <c r="H109" s="215">
        <f t="shared" ref="H109" ca="1" si="127">SUM(H98:H108)</f>
        <v>0</v>
      </c>
      <c r="I109" s="215">
        <f t="shared" ref="I109" ca="1" si="128">SUM(I98:I108)</f>
        <v>0</v>
      </c>
      <c r="J109" s="215">
        <f t="shared" ref="J109" ca="1" si="129">SUM(J98:J108)</f>
        <v>0</v>
      </c>
      <c r="K109" s="215">
        <f t="shared" ref="K109" ca="1" si="130">SUM(K98:K108)</f>
        <v>0</v>
      </c>
      <c r="L109" s="215">
        <f t="shared" ref="L109" ca="1" si="131">SUM(L98:L108)</f>
        <v>0</v>
      </c>
      <c r="M109" s="215">
        <f t="shared" ref="M109" ca="1" si="132">SUM(M98:M108)</f>
        <v>0</v>
      </c>
      <c r="N109" s="215">
        <f t="shared" ref="N109" ca="1" si="133">SUM(N98:N108)</f>
        <v>3.3591156666666668</v>
      </c>
      <c r="O109" s="215">
        <f t="shared" ref="O109" ca="1" si="134">SUM(O98:O108)</f>
        <v>3.666041166666667</v>
      </c>
      <c r="P109" s="215">
        <f t="shared" ref="P109" ca="1" si="135">SUM(P98:P108)</f>
        <v>2.1124296666666664</v>
      </c>
      <c r="Q109" s="215">
        <f t="shared" ref="Q109" ca="1" si="136">SUM(Q98:Q108)</f>
        <v>0.56442666666666663</v>
      </c>
      <c r="R109" s="215">
        <f t="shared" ref="R109" ca="1" si="137">SUM(R98:R108)</f>
        <v>0.81714333333333333</v>
      </c>
      <c r="S109" s="215">
        <f t="shared" ref="S109" ca="1" si="138">SUM(S98:S108)</f>
        <v>0</v>
      </c>
      <c r="T109" s="215">
        <f t="shared" ref="T109" ca="1" si="139">SUM(T98:T108)</f>
        <v>0</v>
      </c>
      <c r="U109" s="215">
        <f t="shared" ref="U109" ca="1" si="140">SUM(U98:U108)</f>
        <v>3.3591156666666668</v>
      </c>
      <c r="V109" s="215">
        <f t="shared" ref="V109" ca="1" si="141">SUM(V98:V108)</f>
        <v>3.666041166666667</v>
      </c>
      <c r="W109" s="215">
        <f t="shared" ref="W109" ca="1" si="142">SUM(W98:W108)</f>
        <v>2.1124296666666664</v>
      </c>
      <c r="X109" s="215">
        <f t="shared" ref="X109" ca="1" si="143">SUM(X98:X108)</f>
        <v>0.56442666666666663</v>
      </c>
      <c r="Y109" s="215">
        <f t="shared" ref="Y109" ca="1" si="144">SUM(Y98:Y108)</f>
        <v>0.81714333333333333</v>
      </c>
      <c r="Z109" s="215">
        <f t="shared" ref="Z109" ca="1" si="145">SUM(Z98:Z108)</f>
        <v>0</v>
      </c>
    </row>
    <row r="110" spans="1:26" x14ac:dyDescent="0.25">
      <c r="E110" s="59"/>
      <c r="F110" s="59"/>
    </row>
    <row r="111" spans="1:26" x14ac:dyDescent="0.25">
      <c r="A111" s="1" t="s">
        <v>108</v>
      </c>
      <c r="E111" s="59"/>
      <c r="F111" s="59"/>
    </row>
    <row r="112" spans="1:26" x14ac:dyDescent="0.25">
      <c r="A112" s="1" t="s">
        <v>119</v>
      </c>
      <c r="E112" s="59"/>
      <c r="F112" s="59"/>
    </row>
    <row r="113" spans="1:26" x14ac:dyDescent="0.25">
      <c r="A113" t="s">
        <v>111</v>
      </c>
      <c r="E113" s="59"/>
      <c r="F113" s="59"/>
      <c r="G113" s="29">
        <f>'Device Cost Input'!H4+'Device Cost Input'!H6</f>
        <v>0</v>
      </c>
      <c r="H113" s="29">
        <f>'Device Cost Input'!I4+'Device Cost Input'!I6</f>
        <v>277.53999999999996</v>
      </c>
      <c r="I113" s="29">
        <f>'Device Cost Input'!J4+'Device Cost Input'!J6</f>
        <v>277.53999999999996</v>
      </c>
      <c r="J113" s="29">
        <f>'Device Cost Input'!K4+'Device Cost Input'!K6</f>
        <v>277.53999999999996</v>
      </c>
      <c r="K113" s="29">
        <f>'Device Cost Input'!L4+'Device Cost Input'!L6</f>
        <v>277.53999999999996</v>
      </c>
      <c r="L113" s="29">
        <f>'Device Cost Input'!M4+'Device Cost Input'!M6</f>
        <v>277.53999999999996</v>
      </c>
      <c r="M113" s="29">
        <f>'Device Cost Input'!N4+'Device Cost Input'!N6</f>
        <v>0</v>
      </c>
      <c r="N113" s="29">
        <f>'Device Cost Input'!O4+'Device Cost Input'!O6</f>
        <v>0</v>
      </c>
      <c r="O113" s="29">
        <f>'Device Cost Input'!P4+'Device Cost Input'!P6</f>
        <v>0</v>
      </c>
      <c r="P113" s="29">
        <f>'Device Cost Input'!Q4+'Device Cost Input'!Q6</f>
        <v>0</v>
      </c>
      <c r="Q113" s="29">
        <f>'Device Cost Input'!R4+'Device Cost Input'!R6</f>
        <v>0</v>
      </c>
      <c r="R113" s="29">
        <f>'Device Cost Input'!S4+'Device Cost Input'!S6</f>
        <v>0</v>
      </c>
      <c r="S113" s="29">
        <f>'Device Cost Input'!T4+'Device Cost Input'!T6</f>
        <v>0</v>
      </c>
      <c r="T113" s="29">
        <f>'Device Cost Input'!U4+'Device Cost Input'!U6</f>
        <v>0</v>
      </c>
      <c r="U113" s="29">
        <f>'Device Cost Input'!V4+'Device Cost Input'!V6</f>
        <v>0</v>
      </c>
      <c r="V113" s="29">
        <f>'Device Cost Input'!W4+'Device Cost Input'!W6</f>
        <v>0</v>
      </c>
      <c r="W113" s="29">
        <f>'Device Cost Input'!X4+'Device Cost Input'!X6</f>
        <v>0</v>
      </c>
      <c r="X113" s="29">
        <f>'Device Cost Input'!Y4+'Device Cost Input'!Y6</f>
        <v>0</v>
      </c>
      <c r="Y113" s="29">
        <f>'Device Cost Input'!Z4+'Device Cost Input'!Z6</f>
        <v>0</v>
      </c>
      <c r="Z113" s="29">
        <f>'Device Cost Input'!AA4+'Device Cost Input'!AA6</f>
        <v>0</v>
      </c>
    </row>
    <row r="114" spans="1:26" ht="15.75" x14ac:dyDescent="0.25">
      <c r="A114" t="s">
        <v>112</v>
      </c>
      <c r="B114" t="s">
        <v>7</v>
      </c>
      <c r="C114" s="3" t="s">
        <v>9</v>
      </c>
      <c r="D114" s="24">
        <f t="shared" ref="D114" si="146">SUMPRODUCT(G114:Z114,G$7:Z$7)</f>
        <v>0.29918053905668712</v>
      </c>
      <c r="E114" s="59">
        <f t="shared" si="78"/>
        <v>0.32873819999999998</v>
      </c>
      <c r="F114" s="59"/>
      <c r="G114">
        <f>'Device Cost Input'!H5+'Device Cost Input'!H7</f>
        <v>0</v>
      </c>
      <c r="H114">
        <f>'Device Cost Input'!I5+'Device Cost Input'!I7</f>
        <v>6.5747639999999996E-2</v>
      </c>
      <c r="I114">
        <f>'Device Cost Input'!J5+'Device Cost Input'!J7</f>
        <v>6.5747639999999996E-2</v>
      </c>
      <c r="J114">
        <f>'Device Cost Input'!K5+'Device Cost Input'!K7</f>
        <v>6.5747639999999996E-2</v>
      </c>
      <c r="K114">
        <f>'Device Cost Input'!L5+'Device Cost Input'!L7</f>
        <v>6.5747639999999996E-2</v>
      </c>
      <c r="L114">
        <f>'Device Cost Input'!M5+'Device Cost Input'!M7</f>
        <v>6.5747639999999996E-2</v>
      </c>
      <c r="M114">
        <f>'Device Cost Input'!N5+'Device Cost Input'!N7</f>
        <v>0</v>
      </c>
      <c r="N114">
        <f>'Device Cost Input'!O5+'Device Cost Input'!O7</f>
        <v>0</v>
      </c>
      <c r="O114">
        <f>'Device Cost Input'!P5+'Device Cost Input'!P7</f>
        <v>0</v>
      </c>
      <c r="P114">
        <f>'Device Cost Input'!Q5+'Device Cost Input'!Q7</f>
        <v>0</v>
      </c>
      <c r="Q114">
        <f>'Device Cost Input'!R5+'Device Cost Input'!R7</f>
        <v>0</v>
      </c>
      <c r="R114">
        <f>'Device Cost Input'!S5+'Device Cost Input'!S7</f>
        <v>0</v>
      </c>
      <c r="S114">
        <f>'Device Cost Input'!T5+'Device Cost Input'!T7</f>
        <v>0</v>
      </c>
      <c r="T114">
        <f>'Device Cost Input'!U5+'Device Cost Input'!U7</f>
        <v>0</v>
      </c>
      <c r="U114">
        <f>'Device Cost Input'!V5+'Device Cost Input'!V7</f>
        <v>0</v>
      </c>
      <c r="V114">
        <f>'Device Cost Input'!W5+'Device Cost Input'!W7</f>
        <v>0</v>
      </c>
      <c r="W114">
        <f>'Device Cost Input'!X5+'Device Cost Input'!X7</f>
        <v>0</v>
      </c>
      <c r="X114">
        <f>'Device Cost Input'!Y5+'Device Cost Input'!Y7</f>
        <v>0</v>
      </c>
      <c r="Y114">
        <f>'Device Cost Input'!Z5+'Device Cost Input'!Z7</f>
        <v>0</v>
      </c>
      <c r="Z114">
        <f>'Device Cost Input'!AA5+'Device Cost Input'!AA7</f>
        <v>0</v>
      </c>
    </row>
    <row r="115" spans="1:26" x14ac:dyDescent="0.25">
      <c r="A115" t="s">
        <v>157</v>
      </c>
      <c r="E115" s="59"/>
      <c r="F115" s="59"/>
      <c r="G115" s="29">
        <f>G113</f>
        <v>0</v>
      </c>
      <c r="H115">
        <f t="shared" ref="H115:Z115" si="147">H113+G115</f>
        <v>277.53999999999996</v>
      </c>
      <c r="I115">
        <f t="shared" si="147"/>
        <v>555.07999999999993</v>
      </c>
      <c r="J115">
        <f t="shared" si="147"/>
        <v>832.61999999999989</v>
      </c>
      <c r="K115">
        <f t="shared" si="147"/>
        <v>1110.1599999999999</v>
      </c>
      <c r="L115">
        <f t="shared" si="147"/>
        <v>1387.6999999999998</v>
      </c>
      <c r="M115">
        <f t="shared" si="147"/>
        <v>1387.6999999999998</v>
      </c>
      <c r="N115">
        <f t="shared" si="147"/>
        <v>1387.6999999999998</v>
      </c>
      <c r="O115">
        <f t="shared" si="147"/>
        <v>1387.6999999999998</v>
      </c>
      <c r="P115">
        <f t="shared" si="147"/>
        <v>1387.6999999999998</v>
      </c>
      <c r="Q115">
        <f t="shared" si="147"/>
        <v>1387.6999999999998</v>
      </c>
      <c r="R115">
        <f t="shared" si="147"/>
        <v>1387.6999999999998</v>
      </c>
      <c r="S115">
        <f t="shared" si="147"/>
        <v>1387.6999999999998</v>
      </c>
      <c r="T115">
        <f t="shared" si="147"/>
        <v>1387.6999999999998</v>
      </c>
      <c r="U115">
        <f t="shared" si="147"/>
        <v>1387.6999999999998</v>
      </c>
      <c r="V115">
        <f t="shared" si="147"/>
        <v>1387.6999999999998</v>
      </c>
      <c r="W115">
        <f t="shared" si="147"/>
        <v>1387.6999999999998</v>
      </c>
      <c r="X115">
        <f t="shared" si="147"/>
        <v>1387.6999999999998</v>
      </c>
      <c r="Y115">
        <f t="shared" si="147"/>
        <v>1387.6999999999998</v>
      </c>
      <c r="Z115">
        <f t="shared" si="147"/>
        <v>1387.6999999999998</v>
      </c>
    </row>
    <row r="116" spans="1:26" x14ac:dyDescent="0.25">
      <c r="A116" t="s">
        <v>113</v>
      </c>
      <c r="E116" s="59"/>
      <c r="F116" s="59"/>
      <c r="G116" s="29">
        <f>'Device Cost Input'!H14</f>
        <v>0</v>
      </c>
      <c r="H116" s="29">
        <f>'Device Cost Input'!I14</f>
        <v>56.4</v>
      </c>
      <c r="I116" s="29">
        <f>'Device Cost Input'!J14</f>
        <v>56.4</v>
      </c>
      <c r="J116" s="29">
        <f>'Device Cost Input'!K14</f>
        <v>56.4</v>
      </c>
      <c r="K116" s="29">
        <f>'Device Cost Input'!L14</f>
        <v>56.4</v>
      </c>
      <c r="L116" s="29">
        <f>'Device Cost Input'!M14</f>
        <v>56.4</v>
      </c>
      <c r="M116" s="29">
        <f>'Device Cost Input'!N14</f>
        <v>0</v>
      </c>
      <c r="N116" s="29">
        <f>'Device Cost Input'!O14</f>
        <v>0</v>
      </c>
      <c r="O116" s="29">
        <f>'Device Cost Input'!P14</f>
        <v>0</v>
      </c>
      <c r="P116" s="29">
        <f>'Device Cost Input'!Q14</f>
        <v>0</v>
      </c>
      <c r="Q116" s="29">
        <f>'Device Cost Input'!R14</f>
        <v>0</v>
      </c>
      <c r="R116" s="29">
        <f>'Device Cost Input'!S14</f>
        <v>0</v>
      </c>
      <c r="S116" s="29">
        <f>'Device Cost Input'!T14</f>
        <v>0</v>
      </c>
      <c r="T116" s="29">
        <f>'Device Cost Input'!U14</f>
        <v>0</v>
      </c>
      <c r="U116" s="29">
        <f>'Device Cost Input'!V14</f>
        <v>0</v>
      </c>
      <c r="V116" s="29">
        <f>'Device Cost Input'!W14</f>
        <v>0</v>
      </c>
      <c r="W116" s="29">
        <f>'Device Cost Input'!X14</f>
        <v>0</v>
      </c>
      <c r="X116" s="29">
        <f>'Device Cost Input'!Y14</f>
        <v>0</v>
      </c>
      <c r="Y116" s="29">
        <f>'Device Cost Input'!Z14</f>
        <v>0</v>
      </c>
      <c r="Z116" s="29">
        <f>'Device Cost Input'!AA14</f>
        <v>0</v>
      </c>
    </row>
    <row r="117" spans="1:26" ht="15.75" x14ac:dyDescent="0.25">
      <c r="A117" t="s">
        <v>114</v>
      </c>
      <c r="B117" t="s">
        <v>7</v>
      </c>
      <c r="C117" s="3" t="s">
        <v>9</v>
      </c>
      <c r="D117" s="24">
        <f t="shared" ref="D117" si="148">SUMPRODUCT(G117:Z117,G$7:Z$7)</f>
        <v>0.33363809139972628</v>
      </c>
      <c r="E117" s="59">
        <f t="shared" si="78"/>
        <v>0.36659999999999998</v>
      </c>
      <c r="F117" s="59"/>
      <c r="G117">
        <f>'Device Cost Input'!H15</f>
        <v>0</v>
      </c>
      <c r="H117">
        <f>'Device Cost Input'!I15</f>
        <v>7.3319999999999996E-2</v>
      </c>
      <c r="I117">
        <f>'Device Cost Input'!J15</f>
        <v>7.3319999999999996E-2</v>
      </c>
      <c r="J117">
        <f>'Device Cost Input'!K15</f>
        <v>7.3319999999999996E-2</v>
      </c>
      <c r="K117">
        <f>'Device Cost Input'!L15</f>
        <v>7.3319999999999996E-2</v>
      </c>
      <c r="L117">
        <f>'Device Cost Input'!M15</f>
        <v>7.3319999999999996E-2</v>
      </c>
      <c r="M117">
        <f>'Device Cost Input'!N15</f>
        <v>0</v>
      </c>
      <c r="N117">
        <f>'Device Cost Input'!O15</f>
        <v>0</v>
      </c>
      <c r="O117">
        <f>'Device Cost Input'!P15</f>
        <v>0</v>
      </c>
      <c r="P117">
        <f>'Device Cost Input'!Q15</f>
        <v>0</v>
      </c>
      <c r="Q117">
        <f>'Device Cost Input'!R15</f>
        <v>0</v>
      </c>
      <c r="R117">
        <f>'Device Cost Input'!S15</f>
        <v>0</v>
      </c>
      <c r="S117">
        <f>'Device Cost Input'!T15</f>
        <v>0</v>
      </c>
      <c r="T117">
        <f>'Device Cost Input'!U15</f>
        <v>0</v>
      </c>
      <c r="U117">
        <f>'Device Cost Input'!V15</f>
        <v>0</v>
      </c>
      <c r="V117">
        <f>'Device Cost Input'!W15</f>
        <v>0</v>
      </c>
      <c r="W117">
        <f>'Device Cost Input'!X15</f>
        <v>0</v>
      </c>
      <c r="X117">
        <f>'Device Cost Input'!Y15</f>
        <v>0</v>
      </c>
      <c r="Y117">
        <f>'Device Cost Input'!Z15</f>
        <v>0</v>
      </c>
      <c r="Z117">
        <f>'Device Cost Input'!AA15</f>
        <v>0</v>
      </c>
    </row>
    <row r="118" spans="1:26" x14ac:dyDescent="0.25">
      <c r="A118" t="s">
        <v>109</v>
      </c>
      <c r="E118" s="59"/>
      <c r="F118" s="59"/>
      <c r="G118" s="29">
        <f>G116</f>
        <v>0</v>
      </c>
      <c r="H118">
        <f t="shared" ref="H118:Z118" si="149">H116+G118</f>
        <v>56.4</v>
      </c>
      <c r="I118">
        <f t="shared" si="149"/>
        <v>112.8</v>
      </c>
      <c r="J118">
        <f t="shared" si="149"/>
        <v>169.2</v>
      </c>
      <c r="K118">
        <f t="shared" si="149"/>
        <v>225.6</v>
      </c>
      <c r="L118">
        <f t="shared" si="149"/>
        <v>282</v>
      </c>
      <c r="M118">
        <f t="shared" si="149"/>
        <v>282</v>
      </c>
      <c r="N118">
        <f t="shared" si="149"/>
        <v>282</v>
      </c>
      <c r="O118">
        <f t="shared" si="149"/>
        <v>282</v>
      </c>
      <c r="P118">
        <f t="shared" si="149"/>
        <v>282</v>
      </c>
      <c r="Q118">
        <f t="shared" si="149"/>
        <v>282</v>
      </c>
      <c r="R118">
        <f t="shared" si="149"/>
        <v>282</v>
      </c>
      <c r="S118">
        <f t="shared" si="149"/>
        <v>282</v>
      </c>
      <c r="T118">
        <f t="shared" si="149"/>
        <v>282</v>
      </c>
      <c r="U118">
        <f t="shared" si="149"/>
        <v>282</v>
      </c>
      <c r="V118">
        <f t="shared" si="149"/>
        <v>282</v>
      </c>
      <c r="W118">
        <f t="shared" si="149"/>
        <v>282</v>
      </c>
      <c r="X118">
        <f t="shared" si="149"/>
        <v>282</v>
      </c>
      <c r="Y118">
        <f t="shared" si="149"/>
        <v>282</v>
      </c>
      <c r="Z118">
        <f t="shared" si="149"/>
        <v>282</v>
      </c>
    </row>
    <row r="119" spans="1:26" x14ac:dyDescent="0.25">
      <c r="A119" t="s">
        <v>115</v>
      </c>
      <c r="E119" s="59"/>
      <c r="F119" s="59"/>
      <c r="G119" s="29">
        <f>'Device Cost Input'!H12</f>
        <v>0</v>
      </c>
      <c r="H119" s="29">
        <f>'Device Cost Input'!I12</f>
        <v>567.95999999999992</v>
      </c>
      <c r="I119" s="29">
        <f>'Device Cost Input'!J12</f>
        <v>567.95999999999992</v>
      </c>
      <c r="J119" s="29">
        <f>'Device Cost Input'!K12</f>
        <v>567.95999999999992</v>
      </c>
      <c r="K119" s="29">
        <f>'Device Cost Input'!L12</f>
        <v>567.95999999999992</v>
      </c>
      <c r="L119" s="29">
        <f>'Device Cost Input'!M12</f>
        <v>567.95999999999992</v>
      </c>
      <c r="M119" s="29">
        <f>'Device Cost Input'!N12</f>
        <v>0</v>
      </c>
      <c r="N119" s="29">
        <f>'Device Cost Input'!O12</f>
        <v>0</v>
      </c>
      <c r="O119" s="29">
        <f>'Device Cost Input'!P12</f>
        <v>0</v>
      </c>
      <c r="P119" s="29">
        <f>'Device Cost Input'!Q12</f>
        <v>0</v>
      </c>
      <c r="Q119" s="29">
        <f>'Device Cost Input'!R12</f>
        <v>0</v>
      </c>
      <c r="R119" s="29">
        <f>'Device Cost Input'!S12</f>
        <v>0</v>
      </c>
      <c r="S119" s="29">
        <f>'Device Cost Input'!T12</f>
        <v>0</v>
      </c>
      <c r="T119" s="29">
        <f>'Device Cost Input'!U12</f>
        <v>0</v>
      </c>
      <c r="U119" s="29">
        <f>'Device Cost Input'!V12</f>
        <v>0</v>
      </c>
      <c r="V119" s="29">
        <f>'Device Cost Input'!W12</f>
        <v>0</v>
      </c>
      <c r="W119" s="29">
        <f>'Device Cost Input'!X12</f>
        <v>0</v>
      </c>
      <c r="X119" s="29">
        <f>'Device Cost Input'!Y12</f>
        <v>0</v>
      </c>
      <c r="Y119" s="29">
        <f>'Device Cost Input'!Z12</f>
        <v>0</v>
      </c>
      <c r="Z119" s="29">
        <f>'Device Cost Input'!AA12</f>
        <v>0</v>
      </c>
    </row>
    <row r="120" spans="1:26" ht="15.75" x14ac:dyDescent="0.25">
      <c r="A120" t="s">
        <v>116</v>
      </c>
      <c r="B120" t="s">
        <v>7</v>
      </c>
      <c r="C120" s="3" t="s">
        <v>9</v>
      </c>
      <c r="D120" s="24">
        <f t="shared" ref="D120" si="150">SUMPRODUCT(G120:Z120,G$7:Z$7)</f>
        <v>2.5032774182890138</v>
      </c>
      <c r="E120" s="59">
        <f t="shared" si="78"/>
        <v>2.7505897114285709</v>
      </c>
      <c r="F120" s="59"/>
      <c r="G120">
        <f>'Device Cost Input'!H13</f>
        <v>0</v>
      </c>
      <c r="H120">
        <f>'Device Cost Input'!I13</f>
        <v>0.5501179422857142</v>
      </c>
      <c r="I120">
        <f>'Device Cost Input'!J13</f>
        <v>0.5501179422857142</v>
      </c>
      <c r="J120">
        <f>'Device Cost Input'!K13</f>
        <v>0.5501179422857142</v>
      </c>
      <c r="K120">
        <f>'Device Cost Input'!L13</f>
        <v>0.5501179422857142</v>
      </c>
      <c r="L120">
        <f>'Device Cost Input'!M13</f>
        <v>0.5501179422857142</v>
      </c>
      <c r="M120">
        <f>'Device Cost Input'!N13</f>
        <v>0</v>
      </c>
      <c r="N120">
        <f>'Device Cost Input'!O13</f>
        <v>0</v>
      </c>
      <c r="O120">
        <f>'Device Cost Input'!P13</f>
        <v>0</v>
      </c>
      <c r="P120">
        <f>'Device Cost Input'!Q13</f>
        <v>0</v>
      </c>
      <c r="Q120">
        <f>'Device Cost Input'!R13</f>
        <v>0</v>
      </c>
      <c r="R120">
        <f>'Device Cost Input'!S13</f>
        <v>0</v>
      </c>
      <c r="S120">
        <f>'Device Cost Input'!T13</f>
        <v>0</v>
      </c>
      <c r="T120">
        <f>'Device Cost Input'!U13</f>
        <v>0</v>
      </c>
      <c r="U120">
        <f>'Device Cost Input'!V13</f>
        <v>0</v>
      </c>
      <c r="V120">
        <f>'Device Cost Input'!W13</f>
        <v>0</v>
      </c>
      <c r="W120">
        <f>'Device Cost Input'!X13</f>
        <v>0</v>
      </c>
      <c r="X120">
        <f>'Device Cost Input'!Y13</f>
        <v>0</v>
      </c>
      <c r="Y120">
        <f>'Device Cost Input'!Z13</f>
        <v>0</v>
      </c>
      <c r="Z120">
        <f>'Device Cost Input'!AA13</f>
        <v>0</v>
      </c>
    </row>
    <row r="121" spans="1:26" x14ac:dyDescent="0.25">
      <c r="A121" t="s">
        <v>110</v>
      </c>
      <c r="E121" s="59"/>
      <c r="F121" s="59"/>
      <c r="G121" s="29">
        <f>G119</f>
        <v>0</v>
      </c>
      <c r="H121">
        <f>H119+G121</f>
        <v>567.95999999999992</v>
      </c>
      <c r="I121">
        <f t="shared" ref="I121:Z121" si="151">I119+H121</f>
        <v>1135.9199999999998</v>
      </c>
      <c r="J121">
        <f t="shared" si="151"/>
        <v>1703.8799999999997</v>
      </c>
      <c r="K121">
        <f t="shared" si="151"/>
        <v>2271.8399999999997</v>
      </c>
      <c r="L121">
        <f t="shared" si="151"/>
        <v>2839.7999999999997</v>
      </c>
      <c r="M121">
        <f t="shared" si="151"/>
        <v>2839.7999999999997</v>
      </c>
      <c r="N121">
        <f t="shared" si="151"/>
        <v>2839.7999999999997</v>
      </c>
      <c r="O121">
        <f t="shared" si="151"/>
        <v>2839.7999999999997</v>
      </c>
      <c r="P121">
        <f t="shared" si="151"/>
        <v>2839.7999999999997</v>
      </c>
      <c r="Q121">
        <f t="shared" si="151"/>
        <v>2839.7999999999997</v>
      </c>
      <c r="R121">
        <f t="shared" si="151"/>
        <v>2839.7999999999997</v>
      </c>
      <c r="S121">
        <f t="shared" si="151"/>
        <v>2839.7999999999997</v>
      </c>
      <c r="T121">
        <f t="shared" si="151"/>
        <v>2839.7999999999997</v>
      </c>
      <c r="U121">
        <f t="shared" si="151"/>
        <v>2839.7999999999997</v>
      </c>
      <c r="V121">
        <f t="shared" si="151"/>
        <v>2839.7999999999997</v>
      </c>
      <c r="W121">
        <f t="shared" si="151"/>
        <v>2839.7999999999997</v>
      </c>
      <c r="X121">
        <f t="shared" si="151"/>
        <v>2839.7999999999997</v>
      </c>
      <c r="Y121">
        <f t="shared" si="151"/>
        <v>2839.7999999999997</v>
      </c>
      <c r="Z121">
        <f t="shared" si="151"/>
        <v>2839.7999999999997</v>
      </c>
    </row>
    <row r="122" spans="1:26" s="51" customFormat="1" x14ac:dyDescent="0.25">
      <c r="A122" s="51" t="s">
        <v>286</v>
      </c>
      <c r="E122" s="59"/>
      <c r="F122" s="59"/>
      <c r="G122" s="29">
        <f>'Device Cost Input'!H8</f>
        <v>0</v>
      </c>
      <c r="H122" s="29">
        <f>'Device Cost Input'!I8</f>
        <v>20.68</v>
      </c>
      <c r="I122" s="29">
        <f>'Device Cost Input'!J8</f>
        <v>20.68</v>
      </c>
      <c r="J122" s="29">
        <f>'Device Cost Input'!K8</f>
        <v>20.68</v>
      </c>
      <c r="K122" s="29">
        <f>'Device Cost Input'!L8</f>
        <v>20.68</v>
      </c>
      <c r="L122" s="29">
        <f>'Device Cost Input'!M8</f>
        <v>20.68</v>
      </c>
      <c r="M122" s="29">
        <f>'Device Cost Input'!N8</f>
        <v>0</v>
      </c>
      <c r="N122" s="29">
        <f>'Device Cost Input'!O8</f>
        <v>0</v>
      </c>
      <c r="O122" s="29">
        <f>'Device Cost Input'!P8</f>
        <v>0</v>
      </c>
      <c r="P122" s="29">
        <f>'Device Cost Input'!Q8</f>
        <v>0</v>
      </c>
      <c r="Q122" s="29">
        <f>'Device Cost Input'!R8</f>
        <v>0</v>
      </c>
      <c r="R122" s="29">
        <f>'Device Cost Input'!S8</f>
        <v>0</v>
      </c>
      <c r="S122" s="29">
        <f>'Device Cost Input'!T8</f>
        <v>0</v>
      </c>
      <c r="T122" s="29">
        <f>'Device Cost Input'!U8</f>
        <v>0</v>
      </c>
      <c r="U122" s="29">
        <f>'Device Cost Input'!V8</f>
        <v>0</v>
      </c>
      <c r="V122" s="29">
        <f>'Device Cost Input'!W8</f>
        <v>0</v>
      </c>
      <c r="W122" s="29">
        <f>'Device Cost Input'!X8</f>
        <v>0</v>
      </c>
      <c r="X122" s="29">
        <f>'Device Cost Input'!Y8</f>
        <v>0</v>
      </c>
      <c r="Y122" s="29">
        <f>'Device Cost Input'!Z8</f>
        <v>0</v>
      </c>
      <c r="Z122" s="29">
        <f>'Device Cost Input'!AA8</f>
        <v>0</v>
      </c>
    </row>
    <row r="123" spans="1:26" s="51" customFormat="1" ht="15.75" x14ac:dyDescent="0.25">
      <c r="A123" s="51" t="s">
        <v>287</v>
      </c>
      <c r="B123" s="51" t="s">
        <v>7</v>
      </c>
      <c r="C123" s="3" t="s">
        <v>9</v>
      </c>
      <c r="D123" s="24">
        <f t="shared" ref="D123" si="152">SUMPRODUCT(G123:Z123,G$7:Z$7)</f>
        <v>3.0112976454539402E-2</v>
      </c>
      <c r="E123" s="59">
        <f t="shared" si="78"/>
        <v>3.3087999999999999E-2</v>
      </c>
      <c r="F123" s="59"/>
      <c r="G123" s="29">
        <f>'Device Cost Input'!H9</f>
        <v>0</v>
      </c>
      <c r="H123" s="29">
        <f>'Device Cost Input'!I9</f>
        <v>6.6176000000000004E-3</v>
      </c>
      <c r="I123" s="29">
        <f>'Device Cost Input'!J9</f>
        <v>6.6176000000000004E-3</v>
      </c>
      <c r="J123" s="29">
        <f>'Device Cost Input'!K9</f>
        <v>6.6176000000000004E-3</v>
      </c>
      <c r="K123" s="29">
        <f>'Device Cost Input'!L9</f>
        <v>6.6176000000000004E-3</v>
      </c>
      <c r="L123" s="29">
        <f>'Device Cost Input'!M9</f>
        <v>6.6176000000000004E-3</v>
      </c>
      <c r="M123" s="29">
        <f>'Device Cost Input'!N9</f>
        <v>0</v>
      </c>
      <c r="N123" s="29">
        <f>'Device Cost Input'!O9</f>
        <v>0</v>
      </c>
      <c r="O123" s="29">
        <f>'Device Cost Input'!P9</f>
        <v>0</v>
      </c>
      <c r="P123" s="29">
        <f>'Device Cost Input'!Q9</f>
        <v>0</v>
      </c>
      <c r="Q123" s="29">
        <f>'Device Cost Input'!R9</f>
        <v>0</v>
      </c>
      <c r="R123" s="29">
        <f>'Device Cost Input'!S9</f>
        <v>0</v>
      </c>
      <c r="S123" s="29">
        <f>'Device Cost Input'!T9</f>
        <v>0</v>
      </c>
      <c r="T123" s="29">
        <f>'Device Cost Input'!U9</f>
        <v>0</v>
      </c>
      <c r="U123" s="29">
        <f>'Device Cost Input'!V9</f>
        <v>0</v>
      </c>
      <c r="V123" s="29">
        <f>'Device Cost Input'!W9</f>
        <v>0</v>
      </c>
      <c r="W123" s="29">
        <f>'Device Cost Input'!X9</f>
        <v>0</v>
      </c>
      <c r="X123" s="29">
        <f>'Device Cost Input'!Y9</f>
        <v>0</v>
      </c>
      <c r="Y123" s="29">
        <f>'Device Cost Input'!Z9</f>
        <v>0</v>
      </c>
      <c r="Z123" s="29">
        <f>'Device Cost Input'!AA9</f>
        <v>0</v>
      </c>
    </row>
    <row r="124" spans="1:26" s="51" customFormat="1" x14ac:dyDescent="0.25">
      <c r="A124" s="51" t="s">
        <v>288</v>
      </c>
      <c r="E124" s="59"/>
      <c r="F124" s="59"/>
      <c r="G124" s="51">
        <f>G122+E124</f>
        <v>0</v>
      </c>
      <c r="H124" s="29">
        <f t="shared" ref="H124" si="153">H122+G124</f>
        <v>20.68</v>
      </c>
      <c r="I124" s="29">
        <f t="shared" ref="I124" si="154">I122+H124</f>
        <v>41.36</v>
      </c>
      <c r="J124" s="29">
        <f t="shared" ref="J124" si="155">J122+I124</f>
        <v>62.04</v>
      </c>
      <c r="K124" s="29">
        <f t="shared" ref="K124" si="156">K122+J124</f>
        <v>82.72</v>
      </c>
      <c r="L124" s="29">
        <f t="shared" ref="L124" si="157">L122+K124</f>
        <v>103.4</v>
      </c>
      <c r="M124" s="51">
        <f t="shared" ref="M124" si="158">M122+L124</f>
        <v>103.4</v>
      </c>
      <c r="N124" s="51">
        <f t="shared" ref="N124" si="159">N122+M124</f>
        <v>103.4</v>
      </c>
      <c r="O124" s="51">
        <f t="shared" ref="O124" si="160">O122+N124</f>
        <v>103.4</v>
      </c>
      <c r="P124" s="51">
        <f t="shared" ref="P124" si="161">P122+O124</f>
        <v>103.4</v>
      </c>
      <c r="Q124" s="51">
        <f t="shared" ref="Q124" si="162">Q122+P124</f>
        <v>103.4</v>
      </c>
      <c r="R124" s="51">
        <f t="shared" ref="R124" si="163">R122+Q124</f>
        <v>103.4</v>
      </c>
      <c r="S124" s="51">
        <f t="shared" ref="S124" si="164">S122+R124</f>
        <v>103.4</v>
      </c>
      <c r="T124" s="51">
        <f t="shared" ref="T124" si="165">T122+S124</f>
        <v>103.4</v>
      </c>
      <c r="U124" s="51">
        <f t="shared" ref="U124" si="166">U122+T124</f>
        <v>103.4</v>
      </c>
      <c r="V124" s="51">
        <f t="shared" ref="V124" si="167">V122+U124</f>
        <v>103.4</v>
      </c>
      <c r="W124" s="51">
        <f t="shared" ref="W124" si="168">W122+V124</f>
        <v>103.4</v>
      </c>
      <c r="X124" s="51">
        <f t="shared" ref="X124" si="169">X122+W124</f>
        <v>103.4</v>
      </c>
      <c r="Y124" s="51">
        <f t="shared" ref="Y124" si="170">Y122+X124</f>
        <v>103.4</v>
      </c>
      <c r="Z124" s="51">
        <f t="shared" ref="Z124" si="171">Z122+Y124</f>
        <v>103.4</v>
      </c>
    </row>
    <row r="125" spans="1:26" x14ac:dyDescent="0.25">
      <c r="A125" t="s">
        <v>117</v>
      </c>
      <c r="E125" s="59"/>
      <c r="F125" s="59"/>
      <c r="G125" s="29">
        <f>'Device Cost Input'!H10</f>
        <v>0</v>
      </c>
      <c r="H125" s="29">
        <f>'Device Cost Input'!I10</f>
        <v>405.6</v>
      </c>
      <c r="I125" s="29">
        <f>'Device Cost Input'!J10</f>
        <v>405.6</v>
      </c>
      <c r="J125" s="29">
        <f>'Device Cost Input'!K10</f>
        <v>405.6</v>
      </c>
      <c r="K125" s="29">
        <f>'Device Cost Input'!L10</f>
        <v>405.6</v>
      </c>
      <c r="L125" s="29">
        <f>'Device Cost Input'!M10</f>
        <v>405.6</v>
      </c>
      <c r="M125" s="29">
        <f>'Device Cost Input'!N10</f>
        <v>0</v>
      </c>
      <c r="N125" s="29">
        <f>'Device Cost Input'!O10</f>
        <v>0</v>
      </c>
      <c r="O125" s="29">
        <f>'Device Cost Input'!P10</f>
        <v>0</v>
      </c>
      <c r="P125" s="29">
        <f>'Device Cost Input'!Q10</f>
        <v>0</v>
      </c>
      <c r="Q125" s="29">
        <f>'Device Cost Input'!R10</f>
        <v>0</v>
      </c>
      <c r="R125" s="29">
        <f>'Device Cost Input'!S10</f>
        <v>0</v>
      </c>
      <c r="S125" s="29">
        <f>'Device Cost Input'!T10</f>
        <v>0</v>
      </c>
      <c r="T125" s="29">
        <f>'Device Cost Input'!U10</f>
        <v>0</v>
      </c>
      <c r="U125" s="29">
        <f>'Device Cost Input'!V10</f>
        <v>0</v>
      </c>
      <c r="V125" s="29">
        <f>'Device Cost Input'!W10</f>
        <v>0</v>
      </c>
      <c r="W125" s="29">
        <f>'Device Cost Input'!X10</f>
        <v>0</v>
      </c>
      <c r="X125" s="29">
        <f>'Device Cost Input'!Y10</f>
        <v>0</v>
      </c>
      <c r="Y125" s="29">
        <f>'Device Cost Input'!Z10</f>
        <v>0</v>
      </c>
      <c r="Z125" s="29">
        <f>'Device Cost Input'!AA10</f>
        <v>0</v>
      </c>
    </row>
    <row r="126" spans="1:26" ht="15.75" x14ac:dyDescent="0.25">
      <c r="A126" t="s">
        <v>120</v>
      </c>
      <c r="B126" t="s">
        <v>7</v>
      </c>
      <c r="C126" s="3" t="s">
        <v>9</v>
      </c>
      <c r="D126" s="24">
        <f t="shared" ref="D126" si="172">SUMPRODUCT(G126:Z126,G$7:Z$7)</f>
        <v>1.0440884629628631</v>
      </c>
      <c r="E126" s="59">
        <f t="shared" si="78"/>
        <v>1.1472396000000002</v>
      </c>
      <c r="F126" s="59"/>
      <c r="G126">
        <f>'Device Cost Input'!H11</f>
        <v>0</v>
      </c>
      <c r="H126">
        <f>'Device Cost Input'!I11</f>
        <v>0.22944792000000006</v>
      </c>
      <c r="I126">
        <f>'Device Cost Input'!J11</f>
        <v>0.22944792000000006</v>
      </c>
      <c r="J126">
        <f>'Device Cost Input'!K11</f>
        <v>0.22944792000000006</v>
      </c>
      <c r="K126">
        <f>'Device Cost Input'!L11</f>
        <v>0.22944792000000006</v>
      </c>
      <c r="L126">
        <f>'Device Cost Input'!M11</f>
        <v>0.22944792000000006</v>
      </c>
      <c r="M126">
        <f>'Device Cost Input'!N11</f>
        <v>0</v>
      </c>
      <c r="N126">
        <f>'Device Cost Input'!O11</f>
        <v>0</v>
      </c>
      <c r="O126">
        <f>'Device Cost Input'!P11</f>
        <v>0</v>
      </c>
      <c r="P126">
        <f>'Device Cost Input'!Q11</f>
        <v>0</v>
      </c>
      <c r="Q126">
        <f>'Device Cost Input'!R11</f>
        <v>0</v>
      </c>
      <c r="R126">
        <f>'Device Cost Input'!S11</f>
        <v>0</v>
      </c>
      <c r="S126">
        <f>'Device Cost Input'!T11</f>
        <v>0</v>
      </c>
      <c r="T126">
        <f>'Device Cost Input'!U11</f>
        <v>0</v>
      </c>
      <c r="U126">
        <f>'Device Cost Input'!V11</f>
        <v>0</v>
      </c>
      <c r="V126">
        <f>'Device Cost Input'!W11</f>
        <v>0</v>
      </c>
      <c r="W126">
        <f>'Device Cost Input'!X11</f>
        <v>0</v>
      </c>
      <c r="X126">
        <f>'Device Cost Input'!Y11</f>
        <v>0</v>
      </c>
      <c r="Y126">
        <f>'Device Cost Input'!Z11</f>
        <v>0</v>
      </c>
      <c r="Z126">
        <f>'Device Cost Input'!AA11</f>
        <v>0</v>
      </c>
    </row>
    <row r="127" spans="1:26" x14ac:dyDescent="0.25">
      <c r="A127" t="s">
        <v>118</v>
      </c>
      <c r="E127" s="59"/>
      <c r="F127" s="59"/>
      <c r="G127" s="29">
        <f>G125</f>
        <v>0</v>
      </c>
      <c r="H127" s="29">
        <f t="shared" ref="H127:Z127" si="173">H125+G127</f>
        <v>405.6</v>
      </c>
      <c r="I127" s="29">
        <f t="shared" si="173"/>
        <v>811.2</v>
      </c>
      <c r="J127" s="29">
        <f t="shared" si="173"/>
        <v>1216.8000000000002</v>
      </c>
      <c r="K127" s="29">
        <f t="shared" si="173"/>
        <v>1622.4</v>
      </c>
      <c r="L127" s="29">
        <f t="shared" si="173"/>
        <v>2028</v>
      </c>
      <c r="M127">
        <f t="shared" si="173"/>
        <v>2028</v>
      </c>
      <c r="N127">
        <f t="shared" si="173"/>
        <v>2028</v>
      </c>
      <c r="O127">
        <f t="shared" si="173"/>
        <v>2028</v>
      </c>
      <c r="P127">
        <f t="shared" si="173"/>
        <v>2028</v>
      </c>
      <c r="Q127">
        <f t="shared" si="173"/>
        <v>2028</v>
      </c>
      <c r="R127">
        <f t="shared" si="173"/>
        <v>2028</v>
      </c>
      <c r="S127">
        <f t="shared" si="173"/>
        <v>2028</v>
      </c>
      <c r="T127">
        <f t="shared" si="173"/>
        <v>2028</v>
      </c>
      <c r="U127">
        <f t="shared" si="173"/>
        <v>2028</v>
      </c>
      <c r="V127">
        <f t="shared" si="173"/>
        <v>2028</v>
      </c>
      <c r="W127">
        <f t="shared" si="173"/>
        <v>2028</v>
      </c>
      <c r="X127">
        <f t="shared" si="173"/>
        <v>2028</v>
      </c>
      <c r="Y127">
        <f t="shared" si="173"/>
        <v>2028</v>
      </c>
      <c r="Z127">
        <f t="shared" si="173"/>
        <v>2028</v>
      </c>
    </row>
    <row r="128" spans="1:26" s="1" customFormat="1" ht="15.75" x14ac:dyDescent="0.25">
      <c r="A128" s="211" t="s">
        <v>351</v>
      </c>
      <c r="B128" s="211" t="s">
        <v>7</v>
      </c>
      <c r="C128" s="212" t="str">
        <f>C126</f>
        <v>NPV</v>
      </c>
      <c r="D128" s="213">
        <f>SUM(D114:D127)</f>
        <v>4.2102974881628299</v>
      </c>
      <c r="E128" s="214">
        <f>SUM(E114:E127)</f>
        <v>4.6262555114285711</v>
      </c>
      <c r="F128" s="214"/>
      <c r="G128" s="215">
        <f>SUM(G117,G120,G123,,G126,G114)</f>
        <v>0</v>
      </c>
      <c r="H128" s="215">
        <f t="shared" ref="H128:Z128" si="174">SUM(H117,H120,H123,,H126,H114)</f>
        <v>0.92525110228571417</v>
      </c>
      <c r="I128" s="215">
        <f t="shared" si="174"/>
        <v>0.92525110228571417</v>
      </c>
      <c r="J128" s="215">
        <f t="shared" si="174"/>
        <v>0.92525110228571417</v>
      </c>
      <c r="K128" s="215">
        <f t="shared" si="174"/>
        <v>0.92525110228571417</v>
      </c>
      <c r="L128" s="215">
        <f t="shared" si="174"/>
        <v>0.92525110228571417</v>
      </c>
      <c r="M128" s="215">
        <f t="shared" si="174"/>
        <v>0</v>
      </c>
      <c r="N128" s="215">
        <f t="shared" si="174"/>
        <v>0</v>
      </c>
      <c r="O128" s="215">
        <f t="shared" si="174"/>
        <v>0</v>
      </c>
      <c r="P128" s="215">
        <f t="shared" si="174"/>
        <v>0</v>
      </c>
      <c r="Q128" s="215">
        <f t="shared" si="174"/>
        <v>0</v>
      </c>
      <c r="R128" s="215">
        <f t="shared" si="174"/>
        <v>0</v>
      </c>
      <c r="S128" s="215">
        <f t="shared" si="174"/>
        <v>0</v>
      </c>
      <c r="T128" s="215">
        <f t="shared" si="174"/>
        <v>0</v>
      </c>
      <c r="U128" s="215">
        <f t="shared" si="174"/>
        <v>0</v>
      </c>
      <c r="V128" s="215">
        <f t="shared" si="174"/>
        <v>0</v>
      </c>
      <c r="W128" s="215">
        <f t="shared" si="174"/>
        <v>0</v>
      </c>
      <c r="X128" s="215">
        <f t="shared" si="174"/>
        <v>0</v>
      </c>
      <c r="Y128" s="215">
        <f t="shared" si="174"/>
        <v>0</v>
      </c>
      <c r="Z128" s="215">
        <f t="shared" si="174"/>
        <v>0</v>
      </c>
    </row>
    <row r="129" spans="1:26" x14ac:dyDescent="0.25">
      <c r="E129" s="59"/>
      <c r="F129" s="59"/>
    </row>
    <row r="130" spans="1:26" x14ac:dyDescent="0.25">
      <c r="A130" s="1" t="s">
        <v>291</v>
      </c>
      <c r="E130" s="59"/>
      <c r="F130" s="59"/>
    </row>
    <row r="131" spans="1:26" x14ac:dyDescent="0.25">
      <c r="A131" t="s">
        <v>280</v>
      </c>
      <c r="E131" s="59"/>
      <c r="F131" s="59"/>
      <c r="G131" s="29">
        <f>'Device Cost Input'!H16</f>
        <v>0</v>
      </c>
      <c r="H131" s="29">
        <f>'Device Cost Input'!I16</f>
        <v>425.00000000000011</v>
      </c>
      <c r="I131" s="29">
        <f>'Device Cost Input'!J16</f>
        <v>425.00000000000011</v>
      </c>
      <c r="J131" s="29">
        <f>'Device Cost Input'!K16</f>
        <v>425.00000000000011</v>
      </c>
      <c r="K131" s="29">
        <f>'Device Cost Input'!L16</f>
        <v>425.00000000000011</v>
      </c>
      <c r="L131" s="29">
        <f>'Device Cost Input'!M16</f>
        <v>425.00000000000011</v>
      </c>
      <c r="M131" s="29">
        <f>'Device Cost Input'!N16</f>
        <v>0</v>
      </c>
      <c r="N131" s="29">
        <f>'Device Cost Input'!O16</f>
        <v>0</v>
      </c>
      <c r="O131" s="29">
        <f>'Device Cost Input'!P16</f>
        <v>0</v>
      </c>
      <c r="P131" s="29">
        <f>'Device Cost Input'!Q16</f>
        <v>0</v>
      </c>
      <c r="Q131" s="29">
        <f>'Device Cost Input'!R16</f>
        <v>0</v>
      </c>
      <c r="R131" s="29">
        <f>'Device Cost Input'!S16</f>
        <v>0</v>
      </c>
      <c r="S131" s="29">
        <f>'Device Cost Input'!T16</f>
        <v>0</v>
      </c>
      <c r="T131" s="29">
        <f>'Device Cost Input'!U16</f>
        <v>0</v>
      </c>
      <c r="U131" s="29">
        <f>'Device Cost Input'!V16</f>
        <v>0</v>
      </c>
      <c r="V131" s="29">
        <f>'Device Cost Input'!W16</f>
        <v>0</v>
      </c>
      <c r="W131" s="29">
        <f>'Device Cost Input'!X16</f>
        <v>0</v>
      </c>
      <c r="X131" s="29">
        <f>'Device Cost Input'!Y16</f>
        <v>0</v>
      </c>
      <c r="Y131" s="29">
        <f>'Device Cost Input'!Z16</f>
        <v>0</v>
      </c>
      <c r="Z131" s="29">
        <f>'Device Cost Input'!AA16</f>
        <v>0</v>
      </c>
    </row>
    <row r="132" spans="1:26" ht="15.75" x14ac:dyDescent="0.25">
      <c r="A132" t="s">
        <v>281</v>
      </c>
      <c r="B132" t="s">
        <v>7</v>
      </c>
      <c r="C132" s="3" t="s">
        <v>9</v>
      </c>
      <c r="D132" s="24">
        <f t="shared" ref="D132" si="175">SUMPRODUCT(G132:Z132,G$7:Z$7)</f>
        <v>4.4686022931355902</v>
      </c>
      <c r="E132" s="59">
        <f t="shared" si="78"/>
        <v>4.910079642857144</v>
      </c>
      <c r="F132" s="59"/>
      <c r="G132" s="29">
        <f>'Device Cost Input'!H17</f>
        <v>0</v>
      </c>
      <c r="H132" s="35">
        <f>'Device Cost Input'!I17</f>
        <v>0.98201592857142883</v>
      </c>
      <c r="I132" s="35">
        <f>'Device Cost Input'!J17</f>
        <v>0.98201592857142883</v>
      </c>
      <c r="J132" s="35">
        <f>'Device Cost Input'!K17</f>
        <v>0.98201592857142883</v>
      </c>
      <c r="K132" s="35">
        <f>'Device Cost Input'!L17</f>
        <v>0.98201592857142883</v>
      </c>
      <c r="L132" s="35">
        <f>'Device Cost Input'!M17</f>
        <v>0.98201592857142883</v>
      </c>
      <c r="M132" s="35">
        <f>'Device Cost Input'!N17</f>
        <v>0</v>
      </c>
      <c r="N132" s="35">
        <f>'Device Cost Input'!O17</f>
        <v>0</v>
      </c>
      <c r="O132" s="35">
        <f>'Device Cost Input'!P17</f>
        <v>0</v>
      </c>
      <c r="P132" s="35">
        <f>'Device Cost Input'!Q17</f>
        <v>0</v>
      </c>
      <c r="Q132" s="35">
        <f>'Device Cost Input'!R17</f>
        <v>0</v>
      </c>
      <c r="R132" s="35">
        <f>'Device Cost Input'!S17</f>
        <v>0</v>
      </c>
      <c r="S132" s="35">
        <f>'Device Cost Input'!T17</f>
        <v>0</v>
      </c>
      <c r="T132" s="35">
        <f>'Device Cost Input'!U17</f>
        <v>0</v>
      </c>
      <c r="U132" s="35">
        <f>'Device Cost Input'!V17</f>
        <v>0</v>
      </c>
      <c r="V132" s="35">
        <f>'Device Cost Input'!W17</f>
        <v>0</v>
      </c>
      <c r="W132" s="35">
        <f>'Device Cost Input'!X17</f>
        <v>0</v>
      </c>
      <c r="X132" s="35">
        <f>'Device Cost Input'!Y17</f>
        <v>0</v>
      </c>
      <c r="Y132" s="35">
        <f>'Device Cost Input'!Z17</f>
        <v>0</v>
      </c>
      <c r="Z132" s="35">
        <f>'Device Cost Input'!AA17</f>
        <v>0</v>
      </c>
    </row>
    <row r="133" spans="1:26" x14ac:dyDescent="0.25">
      <c r="A133" t="s">
        <v>282</v>
      </c>
      <c r="E133" s="59"/>
      <c r="F133" s="59"/>
      <c r="G133">
        <f>G131+E133</f>
        <v>0</v>
      </c>
      <c r="H133" s="29">
        <f t="shared" ref="H133:Z133" si="176">H131+G133</f>
        <v>425.00000000000011</v>
      </c>
      <c r="I133" s="29">
        <f t="shared" si="176"/>
        <v>850.00000000000023</v>
      </c>
      <c r="J133" s="29">
        <f t="shared" si="176"/>
        <v>1275.0000000000005</v>
      </c>
      <c r="K133" s="29">
        <f t="shared" si="176"/>
        <v>1700.0000000000005</v>
      </c>
      <c r="L133" s="29">
        <f t="shared" si="176"/>
        <v>2125.0000000000005</v>
      </c>
      <c r="M133" s="29">
        <f t="shared" si="176"/>
        <v>2125.0000000000005</v>
      </c>
      <c r="N133" s="29">
        <f t="shared" si="176"/>
        <v>2125.0000000000005</v>
      </c>
      <c r="O133" s="29">
        <f t="shared" si="176"/>
        <v>2125.0000000000005</v>
      </c>
      <c r="P133" s="29">
        <f t="shared" si="176"/>
        <v>2125.0000000000005</v>
      </c>
      <c r="Q133" s="29">
        <f t="shared" si="176"/>
        <v>2125.0000000000005</v>
      </c>
      <c r="R133" s="29">
        <f t="shared" si="176"/>
        <v>2125.0000000000005</v>
      </c>
      <c r="S133" s="29">
        <f t="shared" si="176"/>
        <v>2125.0000000000005</v>
      </c>
      <c r="T133" s="29">
        <f t="shared" si="176"/>
        <v>2125.0000000000005</v>
      </c>
      <c r="U133" s="29">
        <f t="shared" si="176"/>
        <v>2125.0000000000005</v>
      </c>
      <c r="V133" s="29">
        <f t="shared" si="176"/>
        <v>2125.0000000000005</v>
      </c>
      <c r="W133" s="29">
        <f t="shared" si="176"/>
        <v>2125.0000000000005</v>
      </c>
      <c r="X133" s="29">
        <f t="shared" si="176"/>
        <v>2125.0000000000005</v>
      </c>
      <c r="Y133" s="29">
        <f t="shared" si="176"/>
        <v>2125.0000000000005</v>
      </c>
      <c r="Z133" s="29">
        <f t="shared" si="176"/>
        <v>2125.0000000000005</v>
      </c>
    </row>
    <row r="134" spans="1:26" s="51" customFormat="1" ht="15.75" x14ac:dyDescent="0.25">
      <c r="A134" s="51" t="s">
        <v>292</v>
      </c>
      <c r="B134" s="51" t="s">
        <v>7</v>
      </c>
      <c r="C134" s="3" t="s">
        <v>9</v>
      </c>
      <c r="D134" s="24">
        <f t="shared" ref="D134" si="177">SUMPRODUCT(G134:Z134,G$7:Z$7)</f>
        <v>0</v>
      </c>
      <c r="E134" s="59">
        <f t="shared" ref="E134:E149" si="178">SUM(G134:Z134)</f>
        <v>0</v>
      </c>
      <c r="F134" s="59"/>
      <c r="G134" s="51">
        <f>IF(G5-'Benefit Input Pars'!$B$18=0,'Device Cost Input'!$C$21,0)/Million</f>
        <v>0</v>
      </c>
      <c r="H134" s="51">
        <f>IF(H5-'Benefit Input Pars'!$B$18=0,'Device Cost Input'!$C$21,0)/Million</f>
        <v>0</v>
      </c>
      <c r="I134" s="51">
        <f>IF(I5-'Benefit Input Pars'!$B$18=0,'Device Cost Input'!$C$21,0)/Million</f>
        <v>0</v>
      </c>
      <c r="J134" s="51">
        <f>IF(J5-'Benefit Input Pars'!$B$18=0,'Device Cost Input'!$C$21,0)/Million</f>
        <v>0</v>
      </c>
      <c r="K134" s="51">
        <f>IF(K5-'Benefit Input Pars'!$B$18=0,'Device Cost Input'!$C$21,0)/Million</f>
        <v>0</v>
      </c>
      <c r="L134" s="51">
        <f>IF(L5-'Benefit Input Pars'!$B$18=0,'Device Cost Input'!$C$21,0)/Million</f>
        <v>0</v>
      </c>
      <c r="M134" s="51">
        <f>IF(M5-'Benefit Input Pars'!$B$18=0,'Device Cost Input'!$C$21,0)/Million</f>
        <v>0</v>
      </c>
      <c r="N134" s="51">
        <f>IF(N5-'Benefit Input Pars'!$B$18=0,'Device Cost Input'!$C$21,0)/Million</f>
        <v>0</v>
      </c>
      <c r="O134" s="51">
        <f>IF(O5-'Benefit Input Pars'!$B$18=0,'Device Cost Input'!$C$21,0)/Million</f>
        <v>0</v>
      </c>
      <c r="P134" s="51">
        <f>IF(P5-'Benefit Input Pars'!$B$18=0,'Device Cost Input'!$C$21,0)/Million</f>
        <v>0</v>
      </c>
      <c r="Q134" s="51">
        <f>IF(Q5-'Benefit Input Pars'!$B$18=0,'Device Cost Input'!$C$21,0)/Million</f>
        <v>0</v>
      </c>
      <c r="R134" s="51">
        <f>IF(R5-'Benefit Input Pars'!$B$18=0,'Device Cost Input'!$C$21,0)/Million</f>
        <v>0</v>
      </c>
      <c r="S134" s="51">
        <f>IF(S5-'Benefit Input Pars'!$B$18=0,'Device Cost Input'!$C$21,0)/Million</f>
        <v>0</v>
      </c>
      <c r="T134" s="51">
        <f>IF(T5-'Benefit Input Pars'!$B$18=0,'Device Cost Input'!$C$21,0)/Million</f>
        <v>0</v>
      </c>
      <c r="U134" s="51">
        <f>IF(U5-'Benefit Input Pars'!$B$18=0,'Device Cost Input'!$C$21,0)/Million</f>
        <v>0</v>
      </c>
      <c r="V134" s="51">
        <f>IF(V5-'Benefit Input Pars'!$B$18=0,'Device Cost Input'!$C$21,0)/Million</f>
        <v>0</v>
      </c>
      <c r="W134" s="51">
        <f>IF(W5-'Benefit Input Pars'!$B$18=0,'Device Cost Input'!$C$21,0)/Million</f>
        <v>0</v>
      </c>
      <c r="X134" s="51">
        <f>IF(X5-'Benefit Input Pars'!$B$18=0,'Device Cost Input'!$C$21,0)/Million</f>
        <v>0</v>
      </c>
      <c r="Y134" s="51">
        <f>IF(Y5-'Benefit Input Pars'!$B$18=0,'Device Cost Input'!$C$21,0)/Million</f>
        <v>0</v>
      </c>
      <c r="Z134" s="51">
        <f>IF(Z5-'Benefit Input Pars'!$B$18=0,'Device Cost Input'!$C$21,0)/Million</f>
        <v>0</v>
      </c>
    </row>
    <row r="135" spans="1:26" s="1" customFormat="1" ht="15.75" x14ac:dyDescent="0.25">
      <c r="A135" s="211" t="s">
        <v>350</v>
      </c>
      <c r="B135" s="211" t="s">
        <v>7</v>
      </c>
      <c r="C135" s="212" t="str">
        <f>C134</f>
        <v>NPV</v>
      </c>
      <c r="D135" s="213">
        <f>SUM(D132:D134)</f>
        <v>4.4686022931355902</v>
      </c>
      <c r="E135" s="214">
        <f>SUM(E132:E134)</f>
        <v>4.910079642857144</v>
      </c>
      <c r="F135" s="214"/>
      <c r="G135" s="215">
        <f>SUM(G132,G134)</f>
        <v>0</v>
      </c>
      <c r="H135" s="215">
        <f t="shared" ref="H135:Z135" si="179">SUM(H132,H134)</f>
        <v>0.98201592857142883</v>
      </c>
      <c r="I135" s="215">
        <f t="shared" si="179"/>
        <v>0.98201592857142883</v>
      </c>
      <c r="J135" s="215">
        <f t="shared" si="179"/>
        <v>0.98201592857142883</v>
      </c>
      <c r="K135" s="215">
        <f t="shared" si="179"/>
        <v>0.98201592857142883</v>
      </c>
      <c r="L135" s="215">
        <f t="shared" si="179"/>
        <v>0.98201592857142883</v>
      </c>
      <c r="M135" s="215">
        <f t="shared" si="179"/>
        <v>0</v>
      </c>
      <c r="N135" s="215">
        <f t="shared" si="179"/>
        <v>0</v>
      </c>
      <c r="O135" s="215">
        <f t="shared" si="179"/>
        <v>0</v>
      </c>
      <c r="P135" s="215">
        <f t="shared" si="179"/>
        <v>0</v>
      </c>
      <c r="Q135" s="215">
        <f t="shared" si="179"/>
        <v>0</v>
      </c>
      <c r="R135" s="215">
        <f t="shared" si="179"/>
        <v>0</v>
      </c>
      <c r="S135" s="215">
        <f t="shared" si="179"/>
        <v>0</v>
      </c>
      <c r="T135" s="215">
        <f t="shared" si="179"/>
        <v>0</v>
      </c>
      <c r="U135" s="215">
        <f t="shared" si="179"/>
        <v>0</v>
      </c>
      <c r="V135" s="215">
        <f t="shared" si="179"/>
        <v>0</v>
      </c>
      <c r="W135" s="215">
        <f t="shared" si="179"/>
        <v>0</v>
      </c>
      <c r="X135" s="215">
        <f t="shared" si="179"/>
        <v>0</v>
      </c>
      <c r="Y135" s="215">
        <f t="shared" si="179"/>
        <v>0</v>
      </c>
      <c r="Z135" s="215">
        <f t="shared" si="179"/>
        <v>0</v>
      </c>
    </row>
    <row r="136" spans="1:26" x14ac:dyDescent="0.25">
      <c r="E136" s="59"/>
      <c r="F136" s="59"/>
    </row>
    <row r="137" spans="1:26" x14ac:dyDescent="0.25">
      <c r="A137" s="1" t="s">
        <v>132</v>
      </c>
      <c r="E137" s="59"/>
      <c r="F137" s="59"/>
    </row>
    <row r="138" spans="1:26" x14ac:dyDescent="0.25">
      <c r="A138" t="s">
        <v>127</v>
      </c>
      <c r="E138" s="59"/>
      <c r="F138" s="59"/>
      <c r="G138">
        <f t="shared" ref="G138:Z138" si="180">G115-0.5*G113</f>
        <v>0</v>
      </c>
      <c r="H138">
        <f t="shared" si="180"/>
        <v>138.76999999999998</v>
      </c>
      <c r="I138">
        <f t="shared" si="180"/>
        <v>416.30999999999995</v>
      </c>
      <c r="J138">
        <f t="shared" si="180"/>
        <v>693.84999999999991</v>
      </c>
      <c r="K138">
        <f t="shared" si="180"/>
        <v>971.38999999999987</v>
      </c>
      <c r="L138">
        <f t="shared" si="180"/>
        <v>1248.9299999999998</v>
      </c>
      <c r="M138">
        <f t="shared" si="180"/>
        <v>1387.6999999999998</v>
      </c>
      <c r="N138">
        <f t="shared" si="180"/>
        <v>1387.6999999999998</v>
      </c>
      <c r="O138">
        <f t="shared" si="180"/>
        <v>1387.6999999999998</v>
      </c>
      <c r="P138">
        <f t="shared" si="180"/>
        <v>1387.6999999999998</v>
      </c>
      <c r="Q138">
        <f t="shared" si="180"/>
        <v>1387.6999999999998</v>
      </c>
      <c r="R138">
        <f t="shared" si="180"/>
        <v>1387.6999999999998</v>
      </c>
      <c r="S138">
        <f t="shared" si="180"/>
        <v>1387.6999999999998</v>
      </c>
      <c r="T138">
        <f t="shared" si="180"/>
        <v>1387.6999999999998</v>
      </c>
      <c r="U138">
        <f t="shared" si="180"/>
        <v>1387.6999999999998</v>
      </c>
      <c r="V138">
        <f t="shared" si="180"/>
        <v>1387.6999999999998</v>
      </c>
      <c r="W138">
        <f t="shared" si="180"/>
        <v>1387.6999999999998</v>
      </c>
      <c r="X138">
        <f t="shared" si="180"/>
        <v>1387.6999999999998</v>
      </c>
      <c r="Y138">
        <f t="shared" si="180"/>
        <v>1387.6999999999998</v>
      </c>
      <c r="Z138">
        <f t="shared" si="180"/>
        <v>1387.6999999999998</v>
      </c>
    </row>
    <row r="139" spans="1:26" ht="15.75" x14ac:dyDescent="0.25">
      <c r="A139" t="s">
        <v>124</v>
      </c>
      <c r="B139" t="s">
        <v>7</v>
      </c>
      <c r="C139" s="3" t="s">
        <v>9</v>
      </c>
      <c r="D139" s="24">
        <f t="shared" ref="D139" si="181">SUMPRODUCT(G139:Z139,G$7:Z$7)</f>
        <v>1.2281965457326796</v>
      </c>
      <c r="E139" s="59">
        <f t="shared" si="178"/>
        <v>1.6714846500000002</v>
      </c>
      <c r="F139" s="59"/>
      <c r="G139">
        <f>G138*'Device Cost Input'!$C$24/Million</f>
        <v>0</v>
      </c>
      <c r="H139">
        <f>H138*'Device Cost Input'!$C$24/Million</f>
        <v>1.0130209999999999E-2</v>
      </c>
      <c r="I139">
        <f>I138*'Device Cost Input'!$C$24/Million</f>
        <v>3.0390629999999998E-2</v>
      </c>
      <c r="J139">
        <f>J138*'Device Cost Input'!$C$24/Million</f>
        <v>5.0651049999999996E-2</v>
      </c>
      <c r="K139">
        <f>K138*'Device Cost Input'!$C$24/Million</f>
        <v>7.091146999999999E-2</v>
      </c>
      <c r="L139">
        <f>L138*'Device Cost Input'!$C$24/Million</f>
        <v>9.1171889999999992E-2</v>
      </c>
      <c r="M139">
        <f>M138*'Device Cost Input'!$C$24/Million</f>
        <v>0.10130209999999999</v>
      </c>
      <c r="N139">
        <f>N138*'Device Cost Input'!$C$24/Million</f>
        <v>0.10130209999999999</v>
      </c>
      <c r="O139">
        <f>O138*'Device Cost Input'!$C$24/Million</f>
        <v>0.10130209999999999</v>
      </c>
      <c r="P139">
        <f>P138*'Device Cost Input'!$C$24/Million</f>
        <v>0.10130209999999999</v>
      </c>
      <c r="Q139">
        <f>Q138*'Device Cost Input'!$C$24/Million</f>
        <v>0.10130209999999999</v>
      </c>
      <c r="R139">
        <f>R138*'Device Cost Input'!$C$24/Million</f>
        <v>0.10130209999999999</v>
      </c>
      <c r="S139">
        <f>S138*'Device Cost Input'!$C$24/Million</f>
        <v>0.10130209999999999</v>
      </c>
      <c r="T139">
        <f>T138*'Device Cost Input'!$C$24/Million</f>
        <v>0.10130209999999999</v>
      </c>
      <c r="U139">
        <f>U138*'Device Cost Input'!$C$24/Million</f>
        <v>0.10130209999999999</v>
      </c>
      <c r="V139">
        <f>V138*'Device Cost Input'!$C$24/Million</f>
        <v>0.10130209999999999</v>
      </c>
      <c r="W139">
        <f>W138*'Device Cost Input'!$C$24/Million</f>
        <v>0.10130209999999999</v>
      </c>
      <c r="X139">
        <f>X138*'Device Cost Input'!$C$24/Million</f>
        <v>0.10130209999999999</v>
      </c>
      <c r="Y139">
        <f>Y138*'Device Cost Input'!$C$24/Million</f>
        <v>0.10130209999999999</v>
      </c>
      <c r="Z139">
        <f>Z138*'Device Cost Input'!$C$24/Million</f>
        <v>0.10130209999999999</v>
      </c>
    </row>
    <row r="140" spans="1:26" x14ac:dyDescent="0.25">
      <c r="A140" t="s">
        <v>128</v>
      </c>
      <c r="E140" s="59"/>
      <c r="F140" s="59"/>
      <c r="G140">
        <f t="shared" ref="G140:Z140" si="182">G118-0.5*G116</f>
        <v>0</v>
      </c>
      <c r="H140">
        <f t="shared" si="182"/>
        <v>28.2</v>
      </c>
      <c r="I140">
        <f t="shared" si="182"/>
        <v>84.6</v>
      </c>
      <c r="J140">
        <f t="shared" si="182"/>
        <v>141</v>
      </c>
      <c r="K140">
        <f t="shared" si="182"/>
        <v>197.4</v>
      </c>
      <c r="L140">
        <f t="shared" si="182"/>
        <v>253.8</v>
      </c>
      <c r="M140">
        <f t="shared" si="182"/>
        <v>282</v>
      </c>
      <c r="N140">
        <f t="shared" si="182"/>
        <v>282</v>
      </c>
      <c r="O140">
        <f t="shared" si="182"/>
        <v>282</v>
      </c>
      <c r="P140">
        <f t="shared" si="182"/>
        <v>282</v>
      </c>
      <c r="Q140">
        <f t="shared" si="182"/>
        <v>282</v>
      </c>
      <c r="R140">
        <f t="shared" si="182"/>
        <v>282</v>
      </c>
      <c r="S140">
        <f t="shared" si="182"/>
        <v>282</v>
      </c>
      <c r="T140">
        <f t="shared" si="182"/>
        <v>282</v>
      </c>
      <c r="U140">
        <f t="shared" si="182"/>
        <v>282</v>
      </c>
      <c r="V140">
        <f t="shared" si="182"/>
        <v>282</v>
      </c>
      <c r="W140">
        <f t="shared" si="182"/>
        <v>282</v>
      </c>
      <c r="X140">
        <f t="shared" si="182"/>
        <v>282</v>
      </c>
      <c r="Y140">
        <f t="shared" si="182"/>
        <v>282</v>
      </c>
      <c r="Z140">
        <f t="shared" si="182"/>
        <v>282</v>
      </c>
    </row>
    <row r="141" spans="1:26" ht="15.75" x14ac:dyDescent="0.25">
      <c r="A141" t="s">
        <v>125</v>
      </c>
      <c r="B141" t="s">
        <v>7</v>
      </c>
      <c r="C141" s="3" t="s">
        <v>9</v>
      </c>
      <c r="D141" s="24">
        <f t="shared" ref="D141" si="183">SUMPRODUCT(G141:Z141,G$7:Z$7)</f>
        <v>0.38634649357039547</v>
      </c>
      <c r="E141" s="59">
        <f t="shared" si="178"/>
        <v>0.52578900000000006</v>
      </c>
      <c r="F141" s="59"/>
      <c r="G141">
        <f>G140*'Device Cost Input'!$C$26/Million</f>
        <v>0</v>
      </c>
      <c r="H141">
        <f>H140*'Device Cost Input'!$C$26/Million</f>
        <v>3.1865999999999999E-3</v>
      </c>
      <c r="I141">
        <f>I140*'Device Cost Input'!$C$26/Million</f>
        <v>9.5597999999999985E-3</v>
      </c>
      <c r="J141">
        <f>J140*'Device Cost Input'!$C$26/Million</f>
        <v>1.5932999999999999E-2</v>
      </c>
      <c r="K141">
        <f>K140*'Device Cost Input'!$C$26/Million</f>
        <v>2.2306200000000002E-2</v>
      </c>
      <c r="L141">
        <f>L140*'Device Cost Input'!$C$26/Million</f>
        <v>2.8679400000000001E-2</v>
      </c>
      <c r="M141">
        <f>M140*'Device Cost Input'!$C$26/Million</f>
        <v>3.1865999999999998E-2</v>
      </c>
      <c r="N141">
        <f>N140*'Device Cost Input'!$C$26/Million</f>
        <v>3.1865999999999998E-2</v>
      </c>
      <c r="O141">
        <f>O140*'Device Cost Input'!$C$26/Million</f>
        <v>3.1865999999999998E-2</v>
      </c>
      <c r="P141">
        <f>P140*'Device Cost Input'!$C$26/Million</f>
        <v>3.1865999999999998E-2</v>
      </c>
      <c r="Q141">
        <f>Q140*'Device Cost Input'!$C$26/Million</f>
        <v>3.1865999999999998E-2</v>
      </c>
      <c r="R141">
        <f>R140*'Device Cost Input'!$C$26/Million</f>
        <v>3.1865999999999998E-2</v>
      </c>
      <c r="S141">
        <f>S140*'Device Cost Input'!$C$26/Million</f>
        <v>3.1865999999999998E-2</v>
      </c>
      <c r="T141">
        <f>T140*'Device Cost Input'!$C$26/Million</f>
        <v>3.1865999999999998E-2</v>
      </c>
      <c r="U141">
        <f>U140*'Device Cost Input'!$C$26/Million</f>
        <v>3.1865999999999998E-2</v>
      </c>
      <c r="V141">
        <f>V140*'Device Cost Input'!$C$26/Million</f>
        <v>3.1865999999999998E-2</v>
      </c>
      <c r="W141">
        <f>W140*'Device Cost Input'!$C$26/Million</f>
        <v>3.1865999999999998E-2</v>
      </c>
      <c r="X141">
        <f>X140*'Device Cost Input'!$C$26/Million</f>
        <v>3.1865999999999998E-2</v>
      </c>
      <c r="Y141">
        <f>Y140*'Device Cost Input'!$C$26/Million</f>
        <v>3.1865999999999998E-2</v>
      </c>
      <c r="Z141">
        <f>Z140*'Device Cost Input'!$C$26/Million</f>
        <v>3.1865999999999998E-2</v>
      </c>
    </row>
    <row r="142" spans="1:26" x14ac:dyDescent="0.25">
      <c r="A142" t="s">
        <v>129</v>
      </c>
      <c r="E142" s="59"/>
      <c r="F142" s="59"/>
      <c r="G142">
        <f t="shared" ref="G142:Z142" si="184">G121-0.5*G119</f>
        <v>0</v>
      </c>
      <c r="H142">
        <f t="shared" si="184"/>
        <v>283.97999999999996</v>
      </c>
      <c r="I142">
        <f t="shared" si="184"/>
        <v>851.93999999999983</v>
      </c>
      <c r="J142">
        <f t="shared" si="184"/>
        <v>1419.8999999999996</v>
      </c>
      <c r="K142">
        <f t="shared" si="184"/>
        <v>1987.8599999999997</v>
      </c>
      <c r="L142">
        <f t="shared" si="184"/>
        <v>2555.8199999999997</v>
      </c>
      <c r="M142">
        <f t="shared" si="184"/>
        <v>2839.7999999999997</v>
      </c>
      <c r="N142">
        <f t="shared" si="184"/>
        <v>2839.7999999999997</v>
      </c>
      <c r="O142">
        <f t="shared" si="184"/>
        <v>2839.7999999999997</v>
      </c>
      <c r="P142">
        <f t="shared" si="184"/>
        <v>2839.7999999999997</v>
      </c>
      <c r="Q142">
        <f t="shared" si="184"/>
        <v>2839.7999999999997</v>
      </c>
      <c r="R142">
        <f t="shared" si="184"/>
        <v>2839.7999999999997</v>
      </c>
      <c r="S142">
        <f t="shared" si="184"/>
        <v>2839.7999999999997</v>
      </c>
      <c r="T142">
        <f t="shared" si="184"/>
        <v>2839.7999999999997</v>
      </c>
      <c r="U142">
        <f t="shared" si="184"/>
        <v>2839.7999999999997</v>
      </c>
      <c r="V142">
        <f t="shared" si="184"/>
        <v>2839.7999999999997</v>
      </c>
      <c r="W142">
        <f t="shared" si="184"/>
        <v>2839.7999999999997</v>
      </c>
      <c r="X142">
        <f t="shared" si="184"/>
        <v>2839.7999999999997</v>
      </c>
      <c r="Y142">
        <f t="shared" si="184"/>
        <v>2839.7999999999997</v>
      </c>
      <c r="Z142">
        <f t="shared" si="184"/>
        <v>2839.7999999999997</v>
      </c>
    </row>
    <row r="143" spans="1:26" ht="15.75" x14ac:dyDescent="0.25">
      <c r="A143" t="s">
        <v>126</v>
      </c>
      <c r="B143" t="s">
        <v>7</v>
      </c>
      <c r="C143" s="3" t="s">
        <v>9</v>
      </c>
      <c r="D143" s="24">
        <f t="shared" ref="D143" si="185">SUMPRODUCT(G143:Z143,G$7:Z$7)</f>
        <v>3.8905913916354926</v>
      </c>
      <c r="E143" s="59">
        <f t="shared" si="178"/>
        <v>5.2948070999999981</v>
      </c>
      <c r="F143" s="59"/>
      <c r="G143">
        <f>G142*'Device Cost Input'!$C$26/Million</f>
        <v>0</v>
      </c>
      <c r="H143">
        <f>H142*'Device Cost Input'!$C$26/Million</f>
        <v>3.2089739999999992E-2</v>
      </c>
      <c r="I143">
        <f>I142*'Device Cost Input'!$C$26/Million</f>
        <v>9.6269219999999989E-2</v>
      </c>
      <c r="J143">
        <f>J142*'Device Cost Input'!$C$26/Million</f>
        <v>0.16044869999999994</v>
      </c>
      <c r="K143">
        <f>K142*'Device Cost Input'!$C$26/Million</f>
        <v>0.22462817999999996</v>
      </c>
      <c r="L143">
        <f>L142*'Device Cost Input'!$C$26/Million</f>
        <v>0.28880765999999997</v>
      </c>
      <c r="M143">
        <f>M142*'Device Cost Input'!$C$26/Million</f>
        <v>0.32089739999999994</v>
      </c>
      <c r="N143">
        <f>N142*'Device Cost Input'!$C$26/Million</f>
        <v>0.32089739999999994</v>
      </c>
      <c r="O143">
        <f>O142*'Device Cost Input'!$C$26/Million</f>
        <v>0.32089739999999994</v>
      </c>
      <c r="P143">
        <f>P142*'Device Cost Input'!$C$26/Million</f>
        <v>0.32089739999999994</v>
      </c>
      <c r="Q143">
        <f>Q142*'Device Cost Input'!$C$26/Million</f>
        <v>0.32089739999999994</v>
      </c>
      <c r="R143">
        <f>R142*'Device Cost Input'!$C$26/Million</f>
        <v>0.32089739999999994</v>
      </c>
      <c r="S143">
        <f>S142*'Device Cost Input'!$C$26/Million</f>
        <v>0.32089739999999994</v>
      </c>
      <c r="T143">
        <f>T142*'Device Cost Input'!$C$26/Million</f>
        <v>0.32089739999999994</v>
      </c>
      <c r="U143">
        <f>U142*'Device Cost Input'!$C$26/Million</f>
        <v>0.32089739999999994</v>
      </c>
      <c r="V143">
        <f>V142*'Device Cost Input'!$C$26/Million</f>
        <v>0.32089739999999994</v>
      </c>
      <c r="W143">
        <f>W142*'Device Cost Input'!$C$26/Million</f>
        <v>0.32089739999999994</v>
      </c>
      <c r="X143">
        <f>X142*'Device Cost Input'!$C$26/Million</f>
        <v>0.32089739999999994</v>
      </c>
      <c r="Y143">
        <f>Y142*'Device Cost Input'!$C$26/Million</f>
        <v>0.32089739999999994</v>
      </c>
      <c r="Z143">
        <f>Z142*'Device Cost Input'!$C$26/Million</f>
        <v>0.32089739999999994</v>
      </c>
    </row>
    <row r="144" spans="1:26" s="51" customFormat="1" x14ac:dyDescent="0.25">
      <c r="A144" s="51" t="s">
        <v>289</v>
      </c>
      <c r="E144" s="59"/>
      <c r="F144" s="59"/>
      <c r="G144" s="51">
        <f>G124-0.5*G122</f>
        <v>0</v>
      </c>
      <c r="H144" s="51">
        <f t="shared" ref="H144:Z144" si="186">H124-0.5*H122</f>
        <v>10.34</v>
      </c>
      <c r="I144" s="51">
        <f t="shared" si="186"/>
        <v>31.02</v>
      </c>
      <c r="J144" s="51">
        <f t="shared" si="186"/>
        <v>51.7</v>
      </c>
      <c r="K144" s="51">
        <f t="shared" si="186"/>
        <v>72.38</v>
      </c>
      <c r="L144" s="51">
        <f t="shared" si="186"/>
        <v>93.06</v>
      </c>
      <c r="M144" s="51">
        <f t="shared" si="186"/>
        <v>103.4</v>
      </c>
      <c r="N144" s="51">
        <f t="shared" si="186"/>
        <v>103.4</v>
      </c>
      <c r="O144" s="51">
        <f t="shared" si="186"/>
        <v>103.4</v>
      </c>
      <c r="P144" s="51">
        <f t="shared" si="186"/>
        <v>103.4</v>
      </c>
      <c r="Q144" s="51">
        <f t="shared" si="186"/>
        <v>103.4</v>
      </c>
      <c r="R144" s="51">
        <f t="shared" si="186"/>
        <v>103.4</v>
      </c>
      <c r="S144" s="51">
        <f t="shared" si="186"/>
        <v>103.4</v>
      </c>
      <c r="T144" s="51">
        <f t="shared" si="186"/>
        <v>103.4</v>
      </c>
      <c r="U144" s="51">
        <f t="shared" si="186"/>
        <v>103.4</v>
      </c>
      <c r="V144" s="51">
        <f t="shared" si="186"/>
        <v>103.4</v>
      </c>
      <c r="W144" s="51">
        <f t="shared" si="186"/>
        <v>103.4</v>
      </c>
      <c r="X144" s="51">
        <f t="shared" si="186"/>
        <v>103.4</v>
      </c>
      <c r="Y144" s="51">
        <f t="shared" si="186"/>
        <v>103.4</v>
      </c>
      <c r="Z144" s="51">
        <f t="shared" si="186"/>
        <v>103.4</v>
      </c>
    </row>
    <row r="145" spans="1:26" s="51" customFormat="1" ht="15.75" x14ac:dyDescent="0.25">
      <c r="A145" s="51" t="s">
        <v>290</v>
      </c>
      <c r="B145" s="51" t="s">
        <v>7</v>
      </c>
      <c r="C145" s="3" t="s">
        <v>9</v>
      </c>
      <c r="D145" s="24">
        <f t="shared" ref="D145" si="187">SUMPRODUCT(G145:Z145,G$7:Z$7)</f>
        <v>0.11408048379468019</v>
      </c>
      <c r="E145" s="59">
        <f t="shared" si="178"/>
        <v>0.15525510000000003</v>
      </c>
      <c r="F145" s="59"/>
      <c r="G145" s="51">
        <f>G144*'Device Cost Input'!$C$25/Million</f>
        <v>0</v>
      </c>
      <c r="H145" s="51">
        <f>H144*'Device Cost Input'!$C$25/Million</f>
        <v>9.4093999999999992E-4</v>
      </c>
      <c r="I145" s="51">
        <f>I144*'Device Cost Input'!$C$25/Million</f>
        <v>2.8228200000000002E-3</v>
      </c>
      <c r="J145" s="51">
        <f>J144*'Device Cost Input'!$C$25/Million</f>
        <v>4.7047E-3</v>
      </c>
      <c r="K145" s="51">
        <f>K144*'Device Cost Input'!$C$25/Million</f>
        <v>6.5865799999999999E-3</v>
      </c>
      <c r="L145" s="51">
        <f>L144*'Device Cost Input'!$C$25/Million</f>
        <v>8.4684600000000006E-3</v>
      </c>
      <c r="M145" s="51">
        <f>M144*'Device Cost Input'!$C$25/Million</f>
        <v>9.4094000000000001E-3</v>
      </c>
      <c r="N145" s="51">
        <f>N144*'Device Cost Input'!$C$25/Million</f>
        <v>9.4094000000000001E-3</v>
      </c>
      <c r="O145" s="51">
        <f>O144*'Device Cost Input'!$C$25/Million</f>
        <v>9.4094000000000001E-3</v>
      </c>
      <c r="P145" s="51">
        <f>P144*'Device Cost Input'!$C$25/Million</f>
        <v>9.4094000000000001E-3</v>
      </c>
      <c r="Q145" s="51">
        <f>Q144*'Device Cost Input'!$C$25/Million</f>
        <v>9.4094000000000001E-3</v>
      </c>
      <c r="R145" s="51">
        <f>R144*'Device Cost Input'!$C$25/Million</f>
        <v>9.4094000000000001E-3</v>
      </c>
      <c r="S145" s="51">
        <f>S144*'Device Cost Input'!$C$25/Million</f>
        <v>9.4094000000000001E-3</v>
      </c>
      <c r="T145" s="51">
        <f>T144*'Device Cost Input'!$C$25/Million</f>
        <v>9.4094000000000001E-3</v>
      </c>
      <c r="U145" s="51">
        <f>U144*'Device Cost Input'!$C$25/Million</f>
        <v>9.4094000000000001E-3</v>
      </c>
      <c r="V145" s="51">
        <f>V144*'Device Cost Input'!$C$25/Million</f>
        <v>9.4094000000000001E-3</v>
      </c>
      <c r="W145" s="51">
        <f>W144*'Device Cost Input'!$C$25/Million</f>
        <v>9.4094000000000001E-3</v>
      </c>
      <c r="X145" s="51">
        <f>X144*'Device Cost Input'!$C$25/Million</f>
        <v>9.4094000000000001E-3</v>
      </c>
      <c r="Y145" s="51">
        <f>Y144*'Device Cost Input'!$C$25/Million</f>
        <v>9.4094000000000001E-3</v>
      </c>
      <c r="Z145" s="51">
        <f>Z144*'Device Cost Input'!$C$25/Million</f>
        <v>9.4094000000000001E-3</v>
      </c>
    </row>
    <row r="146" spans="1:26" x14ac:dyDescent="0.25">
      <c r="A146" t="s">
        <v>130</v>
      </c>
      <c r="E146" s="59"/>
      <c r="F146" s="59"/>
      <c r="G146">
        <f t="shared" ref="G146:Z146" si="188">G127-0.5*G125</f>
        <v>0</v>
      </c>
      <c r="H146">
        <f t="shared" si="188"/>
        <v>202.8</v>
      </c>
      <c r="I146">
        <f t="shared" si="188"/>
        <v>608.40000000000009</v>
      </c>
      <c r="J146">
        <f t="shared" si="188"/>
        <v>1014.0000000000002</v>
      </c>
      <c r="K146">
        <f t="shared" si="188"/>
        <v>1419.6000000000001</v>
      </c>
      <c r="L146">
        <f t="shared" si="188"/>
        <v>1825.2</v>
      </c>
      <c r="M146">
        <f t="shared" si="188"/>
        <v>2028</v>
      </c>
      <c r="N146">
        <f t="shared" si="188"/>
        <v>2028</v>
      </c>
      <c r="O146">
        <f t="shared" si="188"/>
        <v>2028</v>
      </c>
      <c r="P146">
        <f t="shared" si="188"/>
        <v>2028</v>
      </c>
      <c r="Q146">
        <f t="shared" si="188"/>
        <v>2028</v>
      </c>
      <c r="R146">
        <f t="shared" si="188"/>
        <v>2028</v>
      </c>
      <c r="S146">
        <f t="shared" si="188"/>
        <v>2028</v>
      </c>
      <c r="T146">
        <f t="shared" si="188"/>
        <v>2028</v>
      </c>
      <c r="U146">
        <f t="shared" si="188"/>
        <v>2028</v>
      </c>
      <c r="V146">
        <f t="shared" si="188"/>
        <v>2028</v>
      </c>
      <c r="W146">
        <f t="shared" si="188"/>
        <v>2028</v>
      </c>
      <c r="X146">
        <f t="shared" si="188"/>
        <v>2028</v>
      </c>
      <c r="Y146">
        <f t="shared" si="188"/>
        <v>2028</v>
      </c>
      <c r="Z146">
        <f t="shared" si="188"/>
        <v>2028</v>
      </c>
    </row>
    <row r="147" spans="1:26" ht="15.75" x14ac:dyDescent="0.25">
      <c r="A147" t="s">
        <v>131</v>
      </c>
      <c r="B147" t="s">
        <v>7</v>
      </c>
      <c r="C147" s="3" t="s">
        <v>9</v>
      </c>
      <c r="D147" s="24">
        <f t="shared" ref="D147" si="189">SUMPRODUCT(G147:Z147,G$7:Z$7)</f>
        <v>2.2374779606925674</v>
      </c>
      <c r="E147" s="59">
        <f t="shared" si="178"/>
        <v>3.0450419999999991</v>
      </c>
      <c r="F147" s="59"/>
      <c r="G147">
        <f>G146*'Device Cost Input'!$C$25/Million</f>
        <v>0</v>
      </c>
      <c r="H147">
        <f>H146*'Device Cost Input'!$C$25/Million</f>
        <v>1.84548E-2</v>
      </c>
      <c r="I147">
        <f>I146*'Device Cost Input'!$C$25/Million</f>
        <v>5.5364400000000008E-2</v>
      </c>
      <c r="J147">
        <f>J146*'Device Cost Input'!$C$25/Million</f>
        <v>9.2274000000000009E-2</v>
      </c>
      <c r="K147">
        <f>K146*'Device Cost Input'!$C$25/Million</f>
        <v>0.12918360000000001</v>
      </c>
      <c r="L147">
        <f>L146*'Device Cost Input'!$C$25/Million</f>
        <v>0.16609320000000002</v>
      </c>
      <c r="M147">
        <f>M146*'Device Cost Input'!$C$25/Million</f>
        <v>0.18454799999999999</v>
      </c>
      <c r="N147">
        <f>N146*'Device Cost Input'!$C$25/Million</f>
        <v>0.18454799999999999</v>
      </c>
      <c r="O147">
        <f>O146*'Device Cost Input'!$C$25/Million</f>
        <v>0.18454799999999999</v>
      </c>
      <c r="P147">
        <f>P146*'Device Cost Input'!$C$25/Million</f>
        <v>0.18454799999999999</v>
      </c>
      <c r="Q147">
        <f>Q146*'Device Cost Input'!$C$25/Million</f>
        <v>0.18454799999999999</v>
      </c>
      <c r="R147">
        <f>R146*'Device Cost Input'!$C$25/Million</f>
        <v>0.18454799999999999</v>
      </c>
      <c r="S147">
        <f>S146*'Device Cost Input'!$C$25/Million</f>
        <v>0.18454799999999999</v>
      </c>
      <c r="T147">
        <f>T146*'Device Cost Input'!$C$25/Million</f>
        <v>0.18454799999999999</v>
      </c>
      <c r="U147">
        <f>U146*'Device Cost Input'!$C$25/Million</f>
        <v>0.18454799999999999</v>
      </c>
      <c r="V147">
        <f>V146*'Device Cost Input'!$C$25/Million</f>
        <v>0.18454799999999999</v>
      </c>
      <c r="W147">
        <f>W146*'Device Cost Input'!$C$25/Million</f>
        <v>0.18454799999999999</v>
      </c>
      <c r="X147">
        <f>X146*'Device Cost Input'!$C$25/Million</f>
        <v>0.18454799999999999</v>
      </c>
      <c r="Y147">
        <f>Y146*'Device Cost Input'!$C$25/Million</f>
        <v>0.18454799999999999</v>
      </c>
      <c r="Z147">
        <f>Z146*'Device Cost Input'!$C$25/Million</f>
        <v>0.18454799999999999</v>
      </c>
    </row>
    <row r="148" spans="1:26" x14ac:dyDescent="0.25">
      <c r="A148" t="s">
        <v>283</v>
      </c>
      <c r="E148" s="59"/>
      <c r="F148" s="59"/>
      <c r="G148">
        <f t="shared" ref="G148:Z148" si="190">G133-0.5*G131</f>
        <v>0</v>
      </c>
      <c r="H148">
        <f t="shared" si="190"/>
        <v>212.50000000000006</v>
      </c>
      <c r="I148">
        <f t="shared" si="190"/>
        <v>637.50000000000023</v>
      </c>
      <c r="J148">
        <f t="shared" si="190"/>
        <v>1062.5000000000005</v>
      </c>
      <c r="K148">
        <f t="shared" si="190"/>
        <v>1487.5000000000005</v>
      </c>
      <c r="L148">
        <f t="shared" si="190"/>
        <v>1912.5000000000005</v>
      </c>
      <c r="M148">
        <f t="shared" si="190"/>
        <v>2125.0000000000005</v>
      </c>
      <c r="N148">
        <f t="shared" si="190"/>
        <v>2125.0000000000005</v>
      </c>
      <c r="O148">
        <f t="shared" si="190"/>
        <v>2125.0000000000005</v>
      </c>
      <c r="P148">
        <f t="shared" si="190"/>
        <v>2125.0000000000005</v>
      </c>
      <c r="Q148">
        <f t="shared" si="190"/>
        <v>2125.0000000000005</v>
      </c>
      <c r="R148">
        <f t="shared" si="190"/>
        <v>2125.0000000000005</v>
      </c>
      <c r="S148">
        <f t="shared" si="190"/>
        <v>2125.0000000000005</v>
      </c>
      <c r="T148">
        <f t="shared" si="190"/>
        <v>2125.0000000000005</v>
      </c>
      <c r="U148">
        <f t="shared" si="190"/>
        <v>2125.0000000000005</v>
      </c>
      <c r="V148">
        <f t="shared" si="190"/>
        <v>2125.0000000000005</v>
      </c>
      <c r="W148">
        <f t="shared" si="190"/>
        <v>2125.0000000000005</v>
      </c>
      <c r="X148">
        <f t="shared" si="190"/>
        <v>2125.0000000000005</v>
      </c>
      <c r="Y148">
        <f t="shared" si="190"/>
        <v>2125.0000000000005</v>
      </c>
      <c r="Z148">
        <f t="shared" si="190"/>
        <v>2125.0000000000005</v>
      </c>
    </row>
    <row r="149" spans="1:26" ht="15.75" x14ac:dyDescent="0.25">
      <c r="A149" t="s">
        <v>284</v>
      </c>
      <c r="B149" t="s">
        <v>7</v>
      </c>
      <c r="C149" s="3" t="s">
        <v>9</v>
      </c>
      <c r="D149" s="24">
        <f t="shared" ref="D149" si="191">SUMPRODUCT(G149:Z149,G$7:Z$7)</f>
        <v>2.9112989320464204</v>
      </c>
      <c r="E149" s="59">
        <f t="shared" si="178"/>
        <v>3.9620625</v>
      </c>
      <c r="F149" s="59"/>
      <c r="G149">
        <f>G148*'Device Cost Input'!$C$26/Million</f>
        <v>0</v>
      </c>
      <c r="H149">
        <f>H148*'Device Cost Input'!$C$26/Million</f>
        <v>2.4012500000000006E-2</v>
      </c>
      <c r="I149">
        <f>I148*'Device Cost Input'!$C$26/Million</f>
        <v>7.2037500000000032E-2</v>
      </c>
      <c r="J149">
        <f>J148*'Device Cost Input'!$C$26/Million</f>
        <v>0.12006250000000006</v>
      </c>
      <c r="K149">
        <f>K148*'Device Cost Input'!$C$26/Million</f>
        <v>0.16808750000000006</v>
      </c>
      <c r="L149">
        <f>L148*'Device Cost Input'!$C$26/Million</f>
        <v>0.21611250000000007</v>
      </c>
      <c r="M149">
        <f>M148*'Device Cost Input'!$C$26/Million</f>
        <v>0.24012500000000006</v>
      </c>
      <c r="N149">
        <f>N148*'Device Cost Input'!$C$26/Million</f>
        <v>0.24012500000000006</v>
      </c>
      <c r="O149">
        <f>O148*'Device Cost Input'!$C$26/Million</f>
        <v>0.24012500000000006</v>
      </c>
      <c r="P149">
        <f>P148*'Device Cost Input'!$C$26/Million</f>
        <v>0.24012500000000006</v>
      </c>
      <c r="Q149">
        <f>Q148*'Device Cost Input'!$C$26/Million</f>
        <v>0.24012500000000006</v>
      </c>
      <c r="R149">
        <f>R148*'Device Cost Input'!$C$26/Million</f>
        <v>0.24012500000000006</v>
      </c>
      <c r="S149">
        <f>S148*'Device Cost Input'!$C$26/Million</f>
        <v>0.24012500000000006</v>
      </c>
      <c r="T149">
        <f>T148*'Device Cost Input'!$C$26/Million</f>
        <v>0.24012500000000006</v>
      </c>
      <c r="U149">
        <f>U148*'Device Cost Input'!$C$26/Million</f>
        <v>0.24012500000000006</v>
      </c>
      <c r="V149">
        <f>V148*'Device Cost Input'!$C$26/Million</f>
        <v>0.24012500000000006</v>
      </c>
      <c r="W149">
        <f>W148*'Device Cost Input'!$C$26/Million</f>
        <v>0.24012500000000006</v>
      </c>
      <c r="X149">
        <f>X148*'Device Cost Input'!$C$26/Million</f>
        <v>0.24012500000000006</v>
      </c>
      <c r="Y149">
        <f>Y148*'Device Cost Input'!$C$26/Million</f>
        <v>0.24012500000000006</v>
      </c>
      <c r="Z149">
        <f>Z148*'Device Cost Input'!$C$26/Million</f>
        <v>0.24012500000000006</v>
      </c>
    </row>
    <row r="150" spans="1:26" s="1" customFormat="1" ht="15.75" x14ac:dyDescent="0.25">
      <c r="A150" s="211" t="s">
        <v>352</v>
      </c>
      <c r="B150" s="211" t="s">
        <v>7</v>
      </c>
      <c r="C150" s="212" t="str">
        <f>C149</f>
        <v>NPV</v>
      </c>
      <c r="D150" s="213">
        <f>SUM(D139:D149)</f>
        <v>10.767991807472235</v>
      </c>
      <c r="E150" s="214">
        <f>SUM(E139:E149)</f>
        <v>14.654440349999998</v>
      </c>
      <c r="F150" s="214"/>
      <c r="G150" s="215">
        <f>SUM(G139,G141,G143,G145,G147,G149)</f>
        <v>0</v>
      </c>
      <c r="H150" s="215">
        <f t="shared" ref="H150:Z150" si="192">SUM(H139,H141,H143,H145,H147,H149)</f>
        <v>8.8814789999999991E-2</v>
      </c>
      <c r="I150" s="215">
        <f t="shared" si="192"/>
        <v>0.26644436999999999</v>
      </c>
      <c r="J150" s="215">
        <f t="shared" si="192"/>
        <v>0.44407395000000005</v>
      </c>
      <c r="K150" s="215">
        <f t="shared" si="192"/>
        <v>0.62170353</v>
      </c>
      <c r="L150" s="215">
        <f t="shared" si="192"/>
        <v>0.79933311000000007</v>
      </c>
      <c r="M150" s="215">
        <f t="shared" si="192"/>
        <v>0.88814789999999999</v>
      </c>
      <c r="N150" s="215">
        <f t="shared" si="192"/>
        <v>0.88814789999999999</v>
      </c>
      <c r="O150" s="215">
        <f t="shared" si="192"/>
        <v>0.88814789999999999</v>
      </c>
      <c r="P150" s="215">
        <f t="shared" si="192"/>
        <v>0.88814789999999999</v>
      </c>
      <c r="Q150" s="215">
        <f t="shared" si="192"/>
        <v>0.88814789999999999</v>
      </c>
      <c r="R150" s="215">
        <f t="shared" si="192"/>
        <v>0.88814789999999999</v>
      </c>
      <c r="S150" s="215">
        <f t="shared" si="192"/>
        <v>0.88814789999999999</v>
      </c>
      <c r="T150" s="215">
        <f t="shared" si="192"/>
        <v>0.88814789999999999</v>
      </c>
      <c r="U150" s="215">
        <f t="shared" si="192"/>
        <v>0.88814789999999999</v>
      </c>
      <c r="V150" s="215">
        <f t="shared" si="192"/>
        <v>0.88814789999999999</v>
      </c>
      <c r="W150" s="215">
        <f t="shared" si="192"/>
        <v>0.88814789999999999</v>
      </c>
      <c r="X150" s="215">
        <f t="shared" si="192"/>
        <v>0.88814789999999999</v>
      </c>
      <c r="Y150" s="215">
        <f t="shared" si="192"/>
        <v>0.88814789999999999</v>
      </c>
      <c r="Z150" s="215">
        <f t="shared" si="192"/>
        <v>0.88814789999999999</v>
      </c>
    </row>
    <row r="151" spans="1:26" x14ac:dyDescent="0.25">
      <c r="E151" s="59"/>
      <c r="F151" s="59"/>
    </row>
    <row r="152" spans="1:26" x14ac:dyDescent="0.25">
      <c r="A152" s="28" t="s">
        <v>153</v>
      </c>
      <c r="E152" s="59"/>
      <c r="F152" s="59"/>
    </row>
    <row r="153" spans="1:26" ht="15.75" x14ac:dyDescent="0.25">
      <c r="A153" s="22" t="s">
        <v>353</v>
      </c>
      <c r="B153" s="22" t="s">
        <v>7</v>
      </c>
      <c r="C153" s="30" t="s">
        <v>9</v>
      </c>
      <c r="D153" s="31">
        <f t="shared" ref="D153" si="193">SUMPRODUCT(G153:Z153,G$7:Z$7)</f>
        <v>7.4187056730063166</v>
      </c>
      <c r="E153" s="59">
        <f t="shared" ref="E153:E160" si="194">SUM(G153:Z153)</f>
        <v>9.9</v>
      </c>
      <c r="F153" s="59"/>
      <c r="G153" s="22">
        <f>IF(G6&gt;=Initiative7_Year_when_Flexible_Grid_Network_available_for_Summer_Saver_Program_for__VPN_with_Option_1,'Device Cost Input'!$C$30*'Device Cost Input'!$C$29,0)/Million</f>
        <v>0</v>
      </c>
      <c r="H153" s="22">
        <f>IF(H6&gt;=Initiative7_Year_when_Flexible_Grid_Network_available_for_Summer_Saver_Program_for__VPN_with_Option_1,'Device Cost Input'!$C$30*'Device Cost Input'!$C$29+'Device Cost Input'!$C$37,0)/Million</f>
        <v>0</v>
      </c>
      <c r="I153" s="22">
        <f>IF(I6&gt;=Initiative7_Year_when_Flexible_Grid_Network_available_for_Summer_Saver_Program_for__VPN_with_Option_1,'Device Cost Input'!$C$30*'Device Cost Input'!$C$29+'Device Cost Input'!$C$37,0)/Million</f>
        <v>0.55000000000000004</v>
      </c>
      <c r="J153" s="22">
        <f>IF(J6&gt;=Initiative7_Year_when_Flexible_Grid_Network_available_for_Summer_Saver_Program_for__VPN_with_Option_1,'Device Cost Input'!$C$30*'Device Cost Input'!$C$29+'Device Cost Input'!$C$37,0)/Million</f>
        <v>0.55000000000000004</v>
      </c>
      <c r="K153" s="22">
        <f>IF(K6&gt;=Initiative7_Year_when_Flexible_Grid_Network_available_for_Summer_Saver_Program_for__VPN_with_Option_1,'Device Cost Input'!$C$30*'Device Cost Input'!$C$29+'Device Cost Input'!$C$37,0)/Million</f>
        <v>0.55000000000000004</v>
      </c>
      <c r="L153" s="22">
        <f>IF(L6&gt;=Initiative7_Year_when_Flexible_Grid_Network_available_for_Summer_Saver_Program_for__VPN_with_Option_1,'Device Cost Input'!$C$30*'Device Cost Input'!$C$29+'Device Cost Input'!$C$37,0)/Million</f>
        <v>0.55000000000000004</v>
      </c>
      <c r="M153" s="22">
        <f>IF(M6&gt;=Initiative7_Year_when_Flexible_Grid_Network_available_for_Summer_Saver_Program_for__VPN_with_Option_1,'Device Cost Input'!$C$30*'Device Cost Input'!$C$29+'Device Cost Input'!$C$37,0)/Million</f>
        <v>0.55000000000000004</v>
      </c>
      <c r="N153" s="22">
        <f>IF(N6&gt;=Initiative7_Year_when_Flexible_Grid_Network_available_for_Summer_Saver_Program_for__VPN_with_Option_1,'Device Cost Input'!$C$30*'Device Cost Input'!$C$29+'Device Cost Input'!$C$37,0)/Million</f>
        <v>0.55000000000000004</v>
      </c>
      <c r="O153" s="22">
        <f>IF(O6&gt;=Initiative7_Year_when_Flexible_Grid_Network_available_for_Summer_Saver_Program_for__VPN_with_Option_1,'Device Cost Input'!$C$30*'Device Cost Input'!$C$29+'Device Cost Input'!$C$37,0)/Million</f>
        <v>0.55000000000000004</v>
      </c>
      <c r="P153" s="22">
        <f>IF(P6&gt;=Initiative7_Year_when_Flexible_Grid_Network_available_for_Summer_Saver_Program_for__VPN_with_Option_1,'Device Cost Input'!$C$30*'Device Cost Input'!$C$29+'Device Cost Input'!$C$37,0)/Million</f>
        <v>0.55000000000000004</v>
      </c>
      <c r="Q153" s="22">
        <f>IF(Q6&gt;=Initiative7_Year_when_Flexible_Grid_Network_available_for_Summer_Saver_Program_for__VPN_with_Option_1,'Device Cost Input'!$C$30*'Device Cost Input'!$C$29+'Device Cost Input'!$C$37,0)/Million</f>
        <v>0.55000000000000004</v>
      </c>
      <c r="R153" s="22">
        <f>IF(R6&gt;=Initiative7_Year_when_Flexible_Grid_Network_available_for_Summer_Saver_Program_for__VPN_with_Option_1,'Device Cost Input'!$C$30*'Device Cost Input'!$C$29+'Device Cost Input'!$C$37,0)/Million</f>
        <v>0.55000000000000004</v>
      </c>
      <c r="S153" s="22">
        <f>IF(S6&gt;=Initiative7_Year_when_Flexible_Grid_Network_available_for_Summer_Saver_Program_for__VPN_with_Option_1,'Device Cost Input'!$C$30*'Device Cost Input'!$C$29+'Device Cost Input'!$C$37,0)/Million</f>
        <v>0.55000000000000004</v>
      </c>
      <c r="T153" s="22">
        <f>IF(T6&gt;=Initiative7_Year_when_Flexible_Grid_Network_available_for_Summer_Saver_Program_for__VPN_with_Option_1,'Device Cost Input'!$C$30*'Device Cost Input'!$C$29+'Device Cost Input'!$C$37,0)/Million</f>
        <v>0.55000000000000004</v>
      </c>
      <c r="U153" s="22">
        <f>IF(U6&gt;=Initiative7_Year_when_Flexible_Grid_Network_available_for_Summer_Saver_Program_for__VPN_with_Option_1,'Device Cost Input'!$C$30*'Device Cost Input'!$C$29+'Device Cost Input'!$C$37,0)/Million</f>
        <v>0.55000000000000004</v>
      </c>
      <c r="V153" s="22">
        <f>IF(V6&gt;=Initiative7_Year_when_Flexible_Grid_Network_available_for_Summer_Saver_Program_for__VPN_with_Option_1,'Device Cost Input'!$C$30*'Device Cost Input'!$C$29+'Device Cost Input'!$C$37,0)/Million</f>
        <v>0.55000000000000004</v>
      </c>
      <c r="W153" s="22">
        <f>IF(W6&gt;=Initiative7_Year_when_Flexible_Grid_Network_available_for_Summer_Saver_Program_for__VPN_with_Option_1,'Device Cost Input'!$C$30*'Device Cost Input'!$C$29+'Device Cost Input'!$C$37,0)/Million</f>
        <v>0.55000000000000004</v>
      </c>
      <c r="X153" s="22">
        <f>IF(X6&gt;=Initiative7_Year_when_Flexible_Grid_Network_available_for_Summer_Saver_Program_for__VPN_with_Option_1,'Device Cost Input'!$C$30*'Device Cost Input'!$C$29+'Device Cost Input'!$C$37,0)/Million</f>
        <v>0.55000000000000004</v>
      </c>
      <c r="Y153" s="22">
        <f>IF(Y6&gt;=Initiative7_Year_when_Flexible_Grid_Network_available_for_Summer_Saver_Program_for__VPN_with_Option_1,'Device Cost Input'!$C$30*'Device Cost Input'!$C$29+'Device Cost Input'!$C$37,0)/Million</f>
        <v>0.55000000000000004</v>
      </c>
      <c r="Z153" s="22">
        <f>IF(Z6&gt;=Initiative7_Year_when_Flexible_Grid_Network_available_for_Summer_Saver_Program_for__VPN_with_Option_1,'Device Cost Input'!$C$30*'Device Cost Input'!$C$29+'Device Cost Input'!$C$37,0)/Million</f>
        <v>0.55000000000000004</v>
      </c>
    </row>
    <row r="154" spans="1:26" ht="15.75" x14ac:dyDescent="0.25">
      <c r="A154" s="22" t="s">
        <v>354</v>
      </c>
      <c r="B154" s="22" t="s">
        <v>7</v>
      </c>
      <c r="C154" s="30" t="s">
        <v>9</v>
      </c>
      <c r="D154" s="31">
        <f t="shared" ref="D154" si="195">SUMPRODUCT(G154:Z154,G$7:Z$7)</f>
        <v>2.163789154626842</v>
      </c>
      <c r="E154" s="59">
        <f t="shared" si="194"/>
        <v>2.8875000000000011</v>
      </c>
      <c r="F154" s="59"/>
      <c r="G154" s="22">
        <f>G153*'Benefit Input Pars'!$B$45/1.2</f>
        <v>0</v>
      </c>
      <c r="H154" s="22">
        <f>H153*'Benefit Input Pars'!$B$45/1.2</f>
        <v>0</v>
      </c>
      <c r="I154" s="22">
        <f>I153*'Benefit Input Pars'!$B$45/1.2</f>
        <v>0.16041666666666668</v>
      </c>
      <c r="J154" s="22">
        <f>J153*'Benefit Input Pars'!$B$45/1.2</f>
        <v>0.16041666666666668</v>
      </c>
      <c r="K154" s="22">
        <f>K153*'Benefit Input Pars'!$B$45/1.2</f>
        <v>0.16041666666666668</v>
      </c>
      <c r="L154" s="22">
        <f>L153*'Benefit Input Pars'!$B$45/1.2</f>
        <v>0.16041666666666668</v>
      </c>
      <c r="M154" s="22">
        <f>M153*'Benefit Input Pars'!$B$45/1.2</f>
        <v>0.16041666666666668</v>
      </c>
      <c r="N154" s="22">
        <f>N153*'Benefit Input Pars'!$B$45/1.2</f>
        <v>0.16041666666666668</v>
      </c>
      <c r="O154" s="22">
        <f>O153*'Benefit Input Pars'!$B$45/1.2</f>
        <v>0.16041666666666668</v>
      </c>
      <c r="P154" s="22">
        <f>P153*'Benefit Input Pars'!$B$45/1.2</f>
        <v>0.16041666666666668</v>
      </c>
      <c r="Q154" s="22">
        <f>Q153*'Benefit Input Pars'!$B$45/1.2</f>
        <v>0.16041666666666668</v>
      </c>
      <c r="R154" s="22">
        <f>R153*'Benefit Input Pars'!$B$45/1.2</f>
        <v>0.16041666666666668</v>
      </c>
      <c r="S154" s="22">
        <f>S153*'Benefit Input Pars'!$B$45/1.2</f>
        <v>0.16041666666666668</v>
      </c>
      <c r="T154" s="22">
        <f>T153*'Benefit Input Pars'!$B$45/1.2</f>
        <v>0.16041666666666668</v>
      </c>
      <c r="U154" s="22">
        <f>U153*'Benefit Input Pars'!$B$45/1.2</f>
        <v>0.16041666666666668</v>
      </c>
      <c r="V154" s="22">
        <f>V153*'Benefit Input Pars'!$B$45/1.2</f>
        <v>0.16041666666666668</v>
      </c>
      <c r="W154" s="22">
        <f>W153*'Benefit Input Pars'!$B$45/1.2</f>
        <v>0.16041666666666668</v>
      </c>
      <c r="X154" s="22">
        <f>X153*'Benefit Input Pars'!$B$45/1.2</f>
        <v>0.16041666666666668</v>
      </c>
      <c r="Y154" s="22">
        <f>Y153*'Benefit Input Pars'!$B$45/1.2</f>
        <v>0.16041666666666668</v>
      </c>
      <c r="Z154" s="22">
        <f>Z153*'Benefit Input Pars'!$B$45/1.2</f>
        <v>0.16041666666666668</v>
      </c>
    </row>
    <row r="155" spans="1:26" ht="15.75" x14ac:dyDescent="0.25">
      <c r="A155" s="22" t="s">
        <v>341</v>
      </c>
      <c r="B155" s="22" t="s">
        <v>7</v>
      </c>
      <c r="C155" s="30" t="s">
        <v>9</v>
      </c>
      <c r="D155" s="31">
        <f t="shared" ref="D155:D156" si="196">SUMPRODUCT(G155:Z155,G$7:Z$7)</f>
        <v>6.9047707699132124</v>
      </c>
      <c r="E155" s="59">
        <f t="shared" si="194"/>
        <v>9.35</v>
      </c>
      <c r="F155" s="59"/>
      <c r="G155" s="22">
        <f>IF(G5&lt;MAX('Platform Cost Inputs'!$H$15:$H$20),0,IF(G6&gt;=Initiative8_Year_when_Option_1_Flexible_Charging_for_Residential_Evs_available,'Device Cost Input'!$C$31*'Device Cost Input'!$C$29+'Device Cost Input'!$C$37,0)/Million)</f>
        <v>0</v>
      </c>
      <c r="H155" s="22">
        <f>IF(H5&lt;MAX('Platform Cost Inputs'!$H$15:$H$20),0,IF(H6&gt;=Initiative8_Year_when_Option_1_Flexible_Charging_for_Residential_Evs_available,'Device Cost Input'!$C$31*'Device Cost Input'!$C$29+'Device Cost Input'!$C$37,0)/Million)</f>
        <v>0</v>
      </c>
      <c r="I155" s="22">
        <f>IF(I5&lt;MAX('Platform Cost Inputs'!$H$15:$H$20),0,IF(I6&gt;=Initiative8_Year_when_Option_1_Flexible_Charging_for_Residential_Evs_available,'Device Cost Input'!$C$31*'Device Cost Input'!$C$29+'Device Cost Input'!$C$37,0)/Million)</f>
        <v>0</v>
      </c>
      <c r="J155" s="22">
        <f>IF(J5&lt;MAX('Platform Cost Inputs'!$H$15:$H$20),0,IF(J6&gt;=Initiative8_Year_when_Option_1_Flexible_Charging_for_Residential_Evs_available,'Device Cost Input'!$C$31*'Device Cost Input'!$C$29+'Device Cost Input'!$C$37,0)/Million)</f>
        <v>0.55000000000000004</v>
      </c>
      <c r="K155" s="22">
        <f>IF(K5&lt;MAX('Platform Cost Inputs'!$H$15:$H$20),0,IF(K6&gt;=Initiative8_Year_when_Option_1_Flexible_Charging_for_Residential_Evs_available,'Device Cost Input'!$C$31*'Device Cost Input'!$C$29+'Device Cost Input'!$C$37,0)/Million)</f>
        <v>0.55000000000000004</v>
      </c>
      <c r="L155" s="22">
        <f>IF(L5&lt;MAX('Platform Cost Inputs'!$H$15:$H$20),0,IF(L6&gt;=Initiative8_Year_when_Option_1_Flexible_Charging_for_Residential_Evs_available,'Device Cost Input'!$C$31*'Device Cost Input'!$C$29+'Device Cost Input'!$C$37,0)/Million)</f>
        <v>0.55000000000000004</v>
      </c>
      <c r="M155" s="22">
        <f>IF(M5&lt;MAX('Platform Cost Inputs'!$H$15:$H$20),0,IF(M6&gt;=Initiative8_Year_when_Option_1_Flexible_Charging_for_Residential_Evs_available,'Device Cost Input'!$C$31*'Device Cost Input'!$C$29+'Device Cost Input'!$C$37,0)/Million)</f>
        <v>0.55000000000000004</v>
      </c>
      <c r="N155" s="22">
        <f>IF(N5&lt;MAX('Platform Cost Inputs'!$H$15:$H$20),0,IF(N6&gt;=Initiative8_Year_when_Option_1_Flexible_Charging_for_Residential_Evs_available,'Device Cost Input'!$C$31*'Device Cost Input'!$C$29+'Device Cost Input'!$C$37,0)/Million)</f>
        <v>0.55000000000000004</v>
      </c>
      <c r="O155" s="22">
        <f>IF(O5&lt;MAX('Platform Cost Inputs'!$H$15:$H$20),0,IF(O6&gt;=Initiative8_Year_when_Option_1_Flexible_Charging_for_Residential_Evs_available,'Device Cost Input'!$C$31*'Device Cost Input'!$C$29+'Device Cost Input'!$C$37,0)/Million)</f>
        <v>0.55000000000000004</v>
      </c>
      <c r="P155" s="22">
        <f>IF(P5&lt;MAX('Platform Cost Inputs'!$H$15:$H$20),0,IF(P6&gt;=Initiative8_Year_when_Option_1_Flexible_Charging_for_Residential_Evs_available,'Device Cost Input'!$C$31*'Device Cost Input'!$C$29+'Device Cost Input'!$C$37,0)/Million)</f>
        <v>0.55000000000000004</v>
      </c>
      <c r="Q155" s="22">
        <f>IF(Q5&lt;MAX('Platform Cost Inputs'!$H$15:$H$20),0,IF(Q6&gt;=Initiative8_Year_when_Option_1_Flexible_Charging_for_Residential_Evs_available,'Device Cost Input'!$C$31*'Device Cost Input'!$C$29+'Device Cost Input'!$C$37,0)/Million)</f>
        <v>0.55000000000000004</v>
      </c>
      <c r="R155" s="22">
        <f>IF(R5&lt;MAX('Platform Cost Inputs'!$H$15:$H$20),0,IF(R6&gt;=Initiative8_Year_when_Option_1_Flexible_Charging_for_Residential_Evs_available,'Device Cost Input'!$C$31*'Device Cost Input'!$C$29+'Device Cost Input'!$C$37,0)/Million)</f>
        <v>0.55000000000000004</v>
      </c>
      <c r="S155" s="22">
        <f>IF(S5&lt;MAX('Platform Cost Inputs'!$H$15:$H$20),0,IF(S6&gt;=Initiative8_Year_when_Option_1_Flexible_Charging_for_Residential_Evs_available,'Device Cost Input'!$C$31*'Device Cost Input'!$C$29+'Device Cost Input'!$C$37,0)/Million)</f>
        <v>0.55000000000000004</v>
      </c>
      <c r="T155" s="22">
        <f>IF(T5&lt;MAX('Platform Cost Inputs'!$H$15:$H$20),0,IF(T6&gt;=Initiative8_Year_when_Option_1_Flexible_Charging_for_Residential_Evs_available,'Device Cost Input'!$C$31*'Device Cost Input'!$C$29+'Device Cost Input'!$C$37,0)/Million)</f>
        <v>0.55000000000000004</v>
      </c>
      <c r="U155" s="22">
        <f>IF(U5&lt;MAX('Platform Cost Inputs'!$H$15:$H$20),0,IF(U6&gt;=Initiative8_Year_when_Option_1_Flexible_Charging_for_Residential_Evs_available,'Device Cost Input'!$C$31*'Device Cost Input'!$C$29+'Device Cost Input'!$C$37,0)/Million)</f>
        <v>0.55000000000000004</v>
      </c>
      <c r="V155" s="22">
        <f>IF(V5&lt;MAX('Platform Cost Inputs'!$H$15:$H$20),0,IF(V6&gt;=Initiative8_Year_when_Option_1_Flexible_Charging_for_Residential_Evs_available,'Device Cost Input'!$C$31*'Device Cost Input'!$C$29+'Device Cost Input'!$C$37,0)/Million)</f>
        <v>0.55000000000000004</v>
      </c>
      <c r="W155" s="22">
        <f>IF(W5&lt;MAX('Platform Cost Inputs'!$H$15:$H$20),0,IF(W6&gt;=Initiative8_Year_when_Option_1_Flexible_Charging_for_Residential_Evs_available,'Device Cost Input'!$C$31*'Device Cost Input'!$C$29+'Device Cost Input'!$C$37,0)/Million)</f>
        <v>0.55000000000000004</v>
      </c>
      <c r="X155" s="22">
        <f>IF(X5&lt;MAX('Platform Cost Inputs'!$H$15:$H$20),0,IF(X6&gt;=Initiative8_Year_when_Option_1_Flexible_Charging_for_Residential_Evs_available,'Device Cost Input'!$C$31*'Device Cost Input'!$C$29+'Device Cost Input'!$C$37,0)/Million)</f>
        <v>0.55000000000000004</v>
      </c>
      <c r="Y155" s="22">
        <f>IF(Y5&lt;MAX('Platform Cost Inputs'!$H$15:$H$20),0,IF(Y6&gt;=Initiative8_Year_when_Option_1_Flexible_Charging_for_Residential_Evs_available,'Device Cost Input'!$C$31*'Device Cost Input'!$C$29+'Device Cost Input'!$C$37,0)/Million)</f>
        <v>0.55000000000000004</v>
      </c>
      <c r="Z155" s="22">
        <f>IF(Z5&lt;MAX('Platform Cost Inputs'!$H$15:$H$20),0,IF(Z6&gt;=Initiative8_Year_when_Option_1_Flexible_Charging_for_Residential_Evs_available,'Device Cost Input'!$C$31*'Device Cost Input'!$C$29+'Device Cost Input'!$C$37,0)/Million)</f>
        <v>0.55000000000000004</v>
      </c>
    </row>
    <row r="156" spans="1:26" ht="15.75" x14ac:dyDescent="0.25">
      <c r="A156" s="22" t="s">
        <v>342</v>
      </c>
      <c r="B156" s="22" t="s">
        <v>7</v>
      </c>
      <c r="C156" s="30" t="s">
        <v>9</v>
      </c>
      <c r="D156" s="31">
        <f t="shared" si="196"/>
        <v>11.506996225101528</v>
      </c>
      <c r="E156" s="59">
        <f t="shared" si="194"/>
        <v>17.511939238224887</v>
      </c>
      <c r="F156" s="59"/>
      <c r="G156" s="22">
        <f>IF(G5&lt;MAX('Platform Cost Inputs'!$H$15:$H$20),0,IF(G6&gt;=Initiative8_Year_when_Option_1_Flexible_Charging_for_Residential_Evs_available,'Benefit Calcs'!F64*'Device Cost Input'!$C$32,0)/Million)</f>
        <v>0</v>
      </c>
      <c r="H156" s="22">
        <f>IF(H5&lt;MAX('Platform Cost Inputs'!$H$15:$H$20),0,IF(H6&gt;=Initiative8_Year_when_Option_1_Flexible_Charging_for_Residential_Evs_available,'Benefit Calcs'!G64*'Device Cost Input'!$C$32,0)/Million)</f>
        <v>0</v>
      </c>
      <c r="I156" s="22">
        <f>IF(I5&lt;MAX('Platform Cost Inputs'!$H$15:$H$20),0,IF(I6&gt;=Initiative8_Year_when_Option_1_Flexible_Charging_for_Residential_Evs_available,'Benefit Calcs'!H64*'Device Cost Input'!$C$32,0)/Million)</f>
        <v>0</v>
      </c>
      <c r="J156" s="22">
        <f>IF(J5&lt;MAX('Platform Cost Inputs'!$H$15:$H$20),0,IF(J6&gt;=Initiative8_Year_when_Option_1_Flexible_Charging_for_Residential_Evs_available,'Benefit Calcs'!I64*'Device Cost Input'!$C$32,0)/Million)</f>
        <v>4.0553487327635786E-2</v>
      </c>
      <c r="K156" s="22">
        <f>IF(K5&lt;MAX('Platform Cost Inputs'!$H$15:$H$20),0,IF(K6&gt;=Initiative8_Year_when_Option_1_Flexible_Charging_for_Residential_Evs_available,'Benefit Calcs'!J64*'Device Cost Input'!$C$32,0)/Million)</f>
        <v>6.8129923486538055E-2</v>
      </c>
      <c r="L156" s="22">
        <f>IF(L5&lt;MAX('Platform Cost Inputs'!$H$15:$H$20),0,IF(L6&gt;=Initiative8_Year_when_Option_1_Flexible_Charging_for_Residential_Evs_available,'Benefit Calcs'!K64*'Device Cost Input'!$C$32,0)/Million)</f>
        <v>0.10900010166773744</v>
      </c>
      <c r="M156" s="22">
        <f>IF(M5&lt;MAX('Platform Cost Inputs'!$H$15:$H$20),0,IF(M6&gt;=Initiative8_Year_when_Option_1_Flexible_Charging_for_Residential_Evs_available,'Benefit Calcs'!L64*'Device Cost Input'!$C$32,0)/Million)</f>
        <v>0.16702386155208729</v>
      </c>
      <c r="N156" s="22">
        <f>IF(N5&lt;MAX('Platform Cost Inputs'!$H$15:$H$20),0,IF(N6&gt;=Initiative8_Year_when_Option_1_Flexible_Charging_for_Residential_Evs_available,'Benefit Calcs'!M64*'Device Cost Input'!$C$32,0)/Million)</f>
        <v>0.24011690162069216</v>
      </c>
      <c r="O156" s="22">
        <f>IF(O5&lt;MAX('Platform Cost Inputs'!$H$15:$H$20),0,IF(O6&gt;=Initiative8_Year_when_Option_1_Flexible_Charging_for_Residential_Evs_available,'Benefit Calcs'!N64*'Device Cost Input'!$C$32,0)/Million)</f>
        <v>0.33568436719977729</v>
      </c>
      <c r="P156" s="22">
        <f>IF(P5&lt;MAX('Platform Cost Inputs'!$H$15:$H$20),0,IF(P6&gt;=Initiative8_Year_when_Option_1_Flexible_Charging_for_Residential_Evs_available,'Benefit Calcs'!O64*'Device Cost Input'!$C$32,0)/Million)</f>
        <v>0.44585439439964186</v>
      </c>
      <c r="Q156" s="22">
        <f>IF(Q5&lt;MAX('Platform Cost Inputs'!$H$15:$H$20),0,IF(Q6&gt;=Initiative8_Year_when_Option_1_Flexible_Charging_for_Residential_Evs_available,'Benefit Calcs'!P64*'Device Cost Input'!$C$32,0)/Million)</f>
        <v>0.58571447305017432</v>
      </c>
      <c r="R156" s="22">
        <f>IF(R5&lt;MAX('Platform Cost Inputs'!$H$15:$H$20),0,IF(R6&gt;=Initiative8_Year_when_Option_1_Flexible_Charging_for_Residential_Evs_available,'Benefit Calcs'!Q64*'Device Cost Input'!$C$32,0)/Million)</f>
        <v>0.74579784259710524</v>
      </c>
      <c r="S156" s="22">
        <f>IF(S5&lt;MAX('Platform Cost Inputs'!$H$15:$H$20),0,IF(S6&gt;=Initiative8_Year_when_Option_1_Flexible_Charging_for_Residential_Evs_available,'Benefit Calcs'!R64*'Device Cost Input'!$C$32,0)/Million)</f>
        <v>0.91482462898615613</v>
      </c>
      <c r="T156" s="22">
        <f>IF(T5&lt;MAX('Platform Cost Inputs'!$H$15:$H$20),0,IF(T6&gt;=Initiative8_Year_when_Option_1_Flexible_Charging_for_Residential_Evs_available,'Benefit Calcs'!S64*'Device Cost Input'!$C$32,0)/Million)</f>
        <v>1.1226378129669936</v>
      </c>
      <c r="U156" s="22">
        <f>IF(U5&lt;MAX('Platform Cost Inputs'!$H$15:$H$20),0,IF(U6&gt;=Initiative8_Year_when_Option_1_Flexible_Charging_for_Residential_Evs_available,'Benefit Calcs'!T64*'Device Cost Input'!$C$32,0)/Million)</f>
        <v>1.356071416410783</v>
      </c>
      <c r="V156" s="22">
        <f>IF(V5&lt;MAX('Platform Cost Inputs'!$H$15:$H$20),0,IF(V6&gt;=Initiative8_Year_when_Option_1_Flexible_Charging_for_Residential_Evs_available,'Benefit Calcs'!U64*'Device Cost Input'!$C$32,0)/Million)</f>
        <v>1.7070115953237668</v>
      </c>
      <c r="W156" s="22">
        <f>IF(W5&lt;MAX('Platform Cost Inputs'!$H$15:$H$20),0,IF(W6&gt;=Initiative8_Year_when_Option_1_Flexible_Charging_for_Residential_Evs_available,'Benefit Calcs'!V64*'Device Cost Input'!$C$32,0)/Million)</f>
        <v>1.99673551491519</v>
      </c>
      <c r="X156" s="22">
        <f>IF(X5&lt;MAX('Platform Cost Inputs'!$H$15:$H$20),0,IF(X6&gt;=Initiative8_Year_when_Option_1_Flexible_Charging_for_Residential_Evs_available,'Benefit Calcs'!W64*'Device Cost Input'!$C$32,0)/Million)</f>
        <v>2.294333253710656</v>
      </c>
      <c r="Y156" s="22">
        <f>IF(Y5&lt;MAX('Platform Cost Inputs'!$H$15:$H$20),0,IF(Y6&gt;=Initiative8_Year_when_Option_1_Flexible_Charging_for_Residential_Evs_available,'Benefit Calcs'!X64*'Device Cost Input'!$C$32,0)/Million)</f>
        <v>2.567265725166108</v>
      </c>
      <c r="Z156" s="22">
        <f>IF(Z5&lt;MAX('Platform Cost Inputs'!$H$15:$H$20),0,IF(Z6&gt;=Initiative8_Year_when_Option_1_Flexible_Charging_for_Residential_Evs_available,'Benefit Calcs'!Y64*'Device Cost Input'!$C$32,0)/Million)</f>
        <v>2.8151839378438446</v>
      </c>
    </row>
    <row r="157" spans="1:26" ht="15.75" x14ac:dyDescent="0.25">
      <c r="A157" s="22" t="s">
        <v>346</v>
      </c>
      <c r="B157" s="22" t="s">
        <v>7</v>
      </c>
      <c r="C157" s="30" t="s">
        <v>9</v>
      </c>
      <c r="D157" s="31">
        <f t="shared" ref="D157:D160" si="197">SUMPRODUCT(G157:Z157,G$7:Z$7)</f>
        <v>6.9047707699132124</v>
      </c>
      <c r="E157" s="59">
        <f t="shared" si="194"/>
        <v>9.35</v>
      </c>
      <c r="F157" s="59"/>
      <c r="G157" s="22">
        <f>IF(G5&lt;MAX('Platform Cost Inputs'!$H$15:$H$20),0,IF(G6&gt;=Initiative9_Year_when_Option_1_Customer_Load_Monitoring_and_Optimisation_Available,'Device Cost Input'!$C$33*'Device Cost Input'!$C$29+'Device Cost Input'!$C$37,0)/Million)</f>
        <v>0</v>
      </c>
      <c r="H157" s="22">
        <f>IF(H5&lt;MAX('Platform Cost Inputs'!$H$15:$H$20),0,IF(H6&gt;=Initiative9_Year_when_Option_1_Customer_Load_Monitoring_and_Optimisation_Available,'Device Cost Input'!$C$33*'Device Cost Input'!$C$29+'Device Cost Input'!$C$37,0)/Million)</f>
        <v>0</v>
      </c>
      <c r="I157" s="22">
        <f>IF(I5&lt;MAX('Platform Cost Inputs'!$H$15:$H$20),0,IF(I6&gt;=Initiative9_Year_when_Option_1_Customer_Load_Monitoring_and_Optimisation_Available,'Device Cost Input'!$C$33*'Device Cost Input'!$C$29+'Device Cost Input'!$C$37,0)/Million)</f>
        <v>0</v>
      </c>
      <c r="J157" s="22">
        <f>IF(J5&lt;MAX('Platform Cost Inputs'!$H$15:$H$20),0,IF(J6&gt;=Initiative9_Year_when_Option_1_Customer_Load_Monitoring_and_Optimisation_Available,'Device Cost Input'!$C$33*'Device Cost Input'!$C$29+'Device Cost Input'!$C$37,0)/Million)</f>
        <v>0.55000000000000004</v>
      </c>
      <c r="K157" s="22">
        <f>IF(K5&lt;MAX('Platform Cost Inputs'!$H$15:$H$20),0,IF(K6&gt;=Initiative9_Year_when_Option_1_Customer_Load_Monitoring_and_Optimisation_Available,'Device Cost Input'!$C$33*'Device Cost Input'!$C$29+'Device Cost Input'!$C$37,0)/Million)</f>
        <v>0.55000000000000004</v>
      </c>
      <c r="L157" s="22">
        <f>IF(L5&lt;MAX('Platform Cost Inputs'!$H$15:$H$20),0,IF(L6&gt;=Initiative9_Year_when_Option_1_Customer_Load_Monitoring_and_Optimisation_Available,'Device Cost Input'!$C$33*'Device Cost Input'!$C$29+'Device Cost Input'!$C$37,0)/Million)</f>
        <v>0.55000000000000004</v>
      </c>
      <c r="M157" s="22">
        <f>IF(M5&lt;MAX('Platform Cost Inputs'!$H$15:$H$20),0,IF(M6&gt;=Initiative9_Year_when_Option_1_Customer_Load_Monitoring_and_Optimisation_Available,'Device Cost Input'!$C$33*'Device Cost Input'!$C$29+'Device Cost Input'!$C$37,0)/Million)</f>
        <v>0.55000000000000004</v>
      </c>
      <c r="N157" s="22">
        <f>IF(N5&lt;MAX('Platform Cost Inputs'!$H$15:$H$20),0,IF(N6&gt;=Initiative9_Year_when_Option_1_Customer_Load_Monitoring_and_Optimisation_Available,'Device Cost Input'!$C$33*'Device Cost Input'!$C$29+'Device Cost Input'!$C$37,0)/Million)</f>
        <v>0.55000000000000004</v>
      </c>
      <c r="O157" s="22">
        <f>IF(O5&lt;MAX('Platform Cost Inputs'!$H$15:$H$20),0,IF(O6&gt;=Initiative9_Year_when_Option_1_Customer_Load_Monitoring_and_Optimisation_Available,'Device Cost Input'!$C$33*'Device Cost Input'!$C$29+'Device Cost Input'!$C$37,0)/Million)</f>
        <v>0.55000000000000004</v>
      </c>
      <c r="P157" s="22">
        <f>IF(P5&lt;MAX('Platform Cost Inputs'!$H$15:$H$20),0,IF(P6&gt;=Initiative9_Year_when_Option_1_Customer_Load_Monitoring_and_Optimisation_Available,'Device Cost Input'!$C$33*'Device Cost Input'!$C$29+'Device Cost Input'!$C$37,0)/Million)</f>
        <v>0.55000000000000004</v>
      </c>
      <c r="Q157" s="22">
        <f>IF(Q5&lt;MAX('Platform Cost Inputs'!$H$15:$H$20),0,IF(Q6&gt;=Initiative9_Year_when_Option_1_Customer_Load_Monitoring_and_Optimisation_Available,'Device Cost Input'!$C$33*'Device Cost Input'!$C$29+'Device Cost Input'!$C$37,0)/Million)</f>
        <v>0.55000000000000004</v>
      </c>
      <c r="R157" s="22">
        <f>IF(R5&lt;MAX('Platform Cost Inputs'!$H$15:$H$20),0,IF(R6&gt;=Initiative9_Year_when_Option_1_Customer_Load_Monitoring_and_Optimisation_Available,'Device Cost Input'!$C$33*'Device Cost Input'!$C$29+'Device Cost Input'!$C$37,0)/Million)</f>
        <v>0.55000000000000004</v>
      </c>
      <c r="S157" s="22">
        <f>IF(S5&lt;MAX('Platform Cost Inputs'!$H$15:$H$20),0,IF(S6&gt;=Initiative9_Year_when_Option_1_Customer_Load_Monitoring_and_Optimisation_Available,'Device Cost Input'!$C$33*'Device Cost Input'!$C$29+'Device Cost Input'!$C$37,0)/Million)</f>
        <v>0.55000000000000004</v>
      </c>
      <c r="T157" s="22">
        <f>IF(T5&lt;MAX('Platform Cost Inputs'!$H$15:$H$20),0,IF(T6&gt;=Initiative9_Year_when_Option_1_Customer_Load_Monitoring_and_Optimisation_Available,'Device Cost Input'!$C$33*'Device Cost Input'!$C$29+'Device Cost Input'!$C$37,0)/Million)</f>
        <v>0.55000000000000004</v>
      </c>
      <c r="U157" s="22">
        <f>IF(U5&lt;MAX('Platform Cost Inputs'!$H$15:$H$20),0,IF(U6&gt;=Initiative9_Year_when_Option_1_Customer_Load_Monitoring_and_Optimisation_Available,'Device Cost Input'!$C$33*'Device Cost Input'!$C$29+'Device Cost Input'!$C$37,0)/Million)</f>
        <v>0.55000000000000004</v>
      </c>
      <c r="V157" s="22">
        <f>IF(V5&lt;MAX('Platform Cost Inputs'!$H$15:$H$20),0,IF(V6&gt;=Initiative9_Year_when_Option_1_Customer_Load_Monitoring_and_Optimisation_Available,'Device Cost Input'!$C$33*'Device Cost Input'!$C$29+'Device Cost Input'!$C$37,0)/Million)</f>
        <v>0.55000000000000004</v>
      </c>
      <c r="W157" s="22">
        <f>IF(W5&lt;MAX('Platform Cost Inputs'!$H$15:$H$20),0,IF(W6&gt;=Initiative9_Year_when_Option_1_Customer_Load_Monitoring_and_Optimisation_Available,'Device Cost Input'!$C$33*'Device Cost Input'!$C$29+'Device Cost Input'!$C$37,0)/Million)</f>
        <v>0.55000000000000004</v>
      </c>
      <c r="X157" s="22">
        <f>IF(X5&lt;MAX('Platform Cost Inputs'!$H$15:$H$20),0,IF(X6&gt;=Initiative9_Year_when_Option_1_Customer_Load_Monitoring_and_Optimisation_Available,'Device Cost Input'!$C$33*'Device Cost Input'!$C$29+'Device Cost Input'!$C$37,0)/Million)</f>
        <v>0.55000000000000004</v>
      </c>
      <c r="Y157" s="22">
        <f>IF(Y5&lt;MAX('Platform Cost Inputs'!$H$15:$H$20),0,IF(Y6&gt;=Initiative9_Year_when_Option_1_Customer_Load_Monitoring_and_Optimisation_Available,'Device Cost Input'!$C$33*'Device Cost Input'!$C$29+'Device Cost Input'!$C$37,0)/Million)</f>
        <v>0.55000000000000004</v>
      </c>
      <c r="Z157" s="22">
        <f>IF(Z5&lt;MAX('Platform Cost Inputs'!$H$15:$H$20),0,IF(Z6&gt;=Initiative9_Year_when_Option_1_Customer_Load_Monitoring_and_Optimisation_Available,'Device Cost Input'!$C$33*'Device Cost Input'!$C$29+'Device Cost Input'!$C$37,0)/Million)</f>
        <v>0.55000000000000004</v>
      </c>
    </row>
    <row r="158" spans="1:26" ht="15.75" x14ac:dyDescent="0.25">
      <c r="A158" s="22" t="s">
        <v>347</v>
      </c>
      <c r="B158" s="22" t="s">
        <v>7</v>
      </c>
      <c r="C158" s="30" t="s">
        <v>9</v>
      </c>
      <c r="D158" s="31">
        <f t="shared" si="197"/>
        <v>6.3986995458454778</v>
      </c>
      <c r="E158" s="59">
        <f t="shared" si="194"/>
        <v>9.456631073314</v>
      </c>
      <c r="F158" s="59"/>
      <c r="G158" s="22">
        <f>IF(G5&lt;MAX('Platform Cost Inputs'!$H$15:$H$20),0,IF(G6&gt;=Initiative9_Year_when_Option_1_Customer_Load_Monitoring_and_Optimisation_Available,('Benefit Calcs'!F86+'Benefit Calcs'!F88)*'Device Cost Input'!$C$34,0)/Million)</f>
        <v>0</v>
      </c>
      <c r="H158" s="22">
        <f>IF(H5&lt;MAX('Platform Cost Inputs'!$H$15:$H$20),0,IF(H6&gt;=Initiative9_Year_when_Option_1_Customer_Load_Monitoring_and_Optimisation_Available,('Benefit Calcs'!G86+'Benefit Calcs'!G88)*'Device Cost Input'!$C$34,0)/Million)</f>
        <v>0</v>
      </c>
      <c r="I158" s="22">
        <f>IF(I5&lt;MAX('Platform Cost Inputs'!$H$15:$H$20),0,IF(I6&gt;=Initiative9_Year_when_Option_1_Customer_Load_Monitoring_and_Optimisation_Available,('Benefit Calcs'!H86+'Benefit Calcs'!H88)*'Device Cost Input'!$C$34,0)/Million)</f>
        <v>0</v>
      </c>
      <c r="J158" s="22">
        <f>IF(J5&lt;MAX('Platform Cost Inputs'!$H$15:$H$20),0,IF(J6&gt;=Initiative9_Year_when_Option_1_Customer_Load_Monitoring_and_Optimisation_Available,('Benefit Calcs'!I86+'Benefit Calcs'!I88)*'Device Cost Input'!$C$34,0)/Million)</f>
        <v>9.0629799999999983E-2</v>
      </c>
      <c r="K158" s="22">
        <f>IF(K5&lt;MAX('Platform Cost Inputs'!$H$15:$H$20),0,IF(K6&gt;=Initiative9_Year_when_Option_1_Customer_Load_Monitoring_and_Optimisation_Available,('Benefit Calcs'!J86+'Benefit Calcs'!J88)*'Device Cost Input'!$C$34,0)/Million)</f>
        <v>0.12653139999999999</v>
      </c>
      <c r="L158" s="22">
        <f>IF(L5&lt;MAX('Platform Cost Inputs'!$H$15:$H$20),0,IF(L6&gt;=Initiative9_Year_when_Option_1_Customer_Load_Monitoring_and_Optimisation_Available,('Benefit Calcs'!K86+'Benefit Calcs'!K88)*'Device Cost Input'!$C$34,0)/Million)</f>
        <v>0.16576050000000001</v>
      </c>
      <c r="M158" s="22">
        <f>IF(M5&lt;MAX('Platform Cost Inputs'!$H$15:$H$20),0,IF(M6&gt;=Initiative9_Year_when_Option_1_Customer_Load_Monitoring_and_Optimisation_Available,('Benefit Calcs'!L86+'Benefit Calcs'!L88)*'Device Cost Input'!$C$34,0)/Million)</f>
        <v>0.20602324999999999</v>
      </c>
      <c r="N158" s="22">
        <f>IF(N5&lt;MAX('Platform Cost Inputs'!$H$15:$H$20),0,IF(N6&gt;=Initiative9_Year_when_Option_1_Customer_Load_Monitoring_and_Optimisation_Available,('Benefit Calcs'!M86+'Benefit Calcs'!M88)*'Device Cost Input'!$C$34,0)/Million)</f>
        <v>0.25031227500000003</v>
      </c>
      <c r="O158" s="22">
        <f>IF(O5&lt;MAX('Platform Cost Inputs'!$H$15:$H$20),0,IF(O6&gt;=Initiative9_Year_when_Option_1_Customer_Load_Monitoring_and_Optimisation_Available,('Benefit Calcs'!N86+'Benefit Calcs'!N88)*'Device Cost Input'!$C$34,0)/Million)</f>
        <v>0.29903020250000001</v>
      </c>
      <c r="P158" s="22">
        <f>IF(P5&lt;MAX('Platform Cost Inputs'!$H$15:$H$20),0,IF(P6&gt;=Initiative9_Year_when_Option_1_Customer_Load_Monitoring_and_Optimisation_Available,('Benefit Calcs'!O86+'Benefit Calcs'!O88)*'Device Cost Input'!$C$34,0)/Million)</f>
        <v>0.35261992275000004</v>
      </c>
      <c r="Q158" s="22">
        <f>IF(Q5&lt;MAX('Platform Cost Inputs'!$H$15:$H$20),0,IF(Q6&gt;=Initiative9_Year_when_Option_1_Customer_Load_Monitoring_and_Optimisation_Available,('Benefit Calcs'!P86+'Benefit Calcs'!P88)*'Device Cost Input'!$C$34,0)/Million)</f>
        <v>0.41156861502500008</v>
      </c>
      <c r="R158" s="22">
        <f>IF(R5&lt;MAX('Platform Cost Inputs'!$H$15:$H$20),0,IF(R6&gt;=Initiative9_Year_when_Option_1_Customer_Load_Monitoring_and_Optimisation_Available,('Benefit Calcs'!Q86+'Benefit Calcs'!Q88)*'Device Cost Input'!$C$34,0)/Million)</f>
        <v>0.47641217652750001</v>
      </c>
      <c r="S158" s="22">
        <f>IF(S5&lt;MAX('Platform Cost Inputs'!$H$15:$H$20),0,IF(S6&gt;=Initiative9_Year_when_Option_1_Customer_Load_Monitoring_and_Optimisation_Available,('Benefit Calcs'!R86+'Benefit Calcs'!R88)*'Device Cost Input'!$C$34,0)/Million)</f>
        <v>0.54774009418025005</v>
      </c>
      <c r="T158" s="22">
        <f>IF(T5&lt;MAX('Platform Cost Inputs'!$H$15:$H$20),0,IF(T6&gt;=Initiative9_Year_when_Option_1_Customer_Load_Monitoring_and_Optimisation_Available,('Benefit Calcs'!S86+'Benefit Calcs'!S88)*'Device Cost Input'!$C$34,0)/Million)</f>
        <v>0.62620080359827501</v>
      </c>
      <c r="U158" s="22">
        <f>IF(U5&lt;MAX('Platform Cost Inputs'!$H$15:$H$20),0,IF(U6&gt;=Initiative9_Year_when_Option_1_Customer_Load_Monitoring_and_Optimisation_Available,('Benefit Calcs'!T86+'Benefit Calcs'!T88)*'Device Cost Input'!$C$34,0)/Million)</f>
        <v>0.71250758395810254</v>
      </c>
      <c r="V158" s="22">
        <f>IF(V5&lt;MAX('Platform Cost Inputs'!$H$15:$H$20),0,IF(V6&gt;=Initiative9_Year_when_Option_1_Customer_Load_Monitoring_and_Optimisation_Available,('Benefit Calcs'!U86+'Benefit Calcs'!U88)*'Device Cost Input'!$C$34,0)/Million)</f>
        <v>0.80744504235391268</v>
      </c>
      <c r="W158" s="22">
        <f>IF(W5&lt;MAX('Platform Cost Inputs'!$H$15:$H$20),0,IF(W6&gt;=Initiative9_Year_when_Option_1_Customer_Load_Monitoring_and_Optimisation_Available,('Benefit Calcs'!V86+'Benefit Calcs'!V88)*'Device Cost Input'!$C$34,0)/Million)</f>
        <v>0.911876246589304</v>
      </c>
      <c r="X158" s="22">
        <f>IF(X5&lt;MAX('Platform Cost Inputs'!$H$15:$H$20),0,IF(X6&gt;=Initiative9_Year_when_Option_1_Customer_Load_Monitoring_and_Optimisation_Available,('Benefit Calcs'!W86+'Benefit Calcs'!W88)*'Device Cost Input'!$C$34,0)/Million)</f>
        <v>1.0267505712482343</v>
      </c>
      <c r="Y158" s="22">
        <f>IF(Y5&lt;MAX('Platform Cost Inputs'!$H$15:$H$20),0,IF(Y6&gt;=Initiative9_Year_when_Option_1_Customer_Load_Monitoring_and_Optimisation_Available,('Benefit Calcs'!X86+'Benefit Calcs'!X88)*'Device Cost Input'!$C$34,0)/Million)</f>
        <v>1.1531123283730578</v>
      </c>
      <c r="Z158" s="22">
        <f>IF(Z5&lt;MAX('Platform Cost Inputs'!$H$15:$H$20),0,IF(Z6&gt;=Initiative9_Year_when_Option_1_Customer_Load_Monitoring_and_Optimisation_Available,('Benefit Calcs'!Y86+'Benefit Calcs'!Y88)*'Device Cost Input'!$C$34,0)/Million)</f>
        <v>1.2921102612103637</v>
      </c>
    </row>
    <row r="159" spans="1:26" ht="15.75" x14ac:dyDescent="0.25">
      <c r="A159" s="22" t="s">
        <v>348</v>
      </c>
      <c r="B159" s="22" t="s">
        <v>7</v>
      </c>
      <c r="C159" s="30" t="s">
        <v>9</v>
      </c>
      <c r="D159" s="31">
        <f t="shared" si="197"/>
        <v>1.5692660840711843</v>
      </c>
      <c r="E159" s="59">
        <f t="shared" si="194"/>
        <v>2.125</v>
      </c>
      <c r="F159" s="59"/>
      <c r="G159" s="22">
        <f>IF(G5&lt;MAX('Platform Cost Inputs'!$H$15:$H$20),0,IF(G6&gt;=Initiative9_Year_when_Hot_Water_and_Solar_load_control_program_begins,'Device Cost Input'!$C$35*'Device Cost Input'!$C$29,0)/Million)</f>
        <v>0</v>
      </c>
      <c r="H159" s="22">
        <f>IF(H5&lt;MAX('Platform Cost Inputs'!$H$15:$H$20),0,IF(H6&gt;=Initiative9_Year_when_Hot_Water_and_Solar_load_control_program_begins,'Device Cost Input'!$C$35*'Device Cost Input'!$C$29,0)/Million)</f>
        <v>0</v>
      </c>
      <c r="I159" s="22">
        <f>IF(I5&lt;MAX('Platform Cost Inputs'!$H$15:$H$20),0,IF(I6&gt;=Initiative9_Year_when_Hot_Water_and_Solar_load_control_program_begins,'Device Cost Input'!$C$35*'Device Cost Input'!$C$29,0)/Million)</f>
        <v>0</v>
      </c>
      <c r="J159" s="22">
        <f>IF(J5&lt;MAX('Platform Cost Inputs'!$H$15:$H$20),0,IF(J6&gt;=Initiative9_Year_when_Hot_Water_and_Solar_load_control_program_begins,'Device Cost Input'!$C$35*'Device Cost Input'!$C$29,0)/Million)</f>
        <v>0.125</v>
      </c>
      <c r="K159" s="22">
        <f>IF(K5&lt;MAX('Platform Cost Inputs'!$H$15:$H$20),0,IF(K6&gt;=Initiative9_Year_when_Hot_Water_and_Solar_load_control_program_begins,'Device Cost Input'!$C$35*'Device Cost Input'!$C$29,0)/Million)</f>
        <v>0.125</v>
      </c>
      <c r="L159" s="22">
        <f>IF(L5&lt;MAX('Platform Cost Inputs'!$H$15:$H$20),0,IF(L6&gt;=Initiative9_Year_when_Hot_Water_and_Solar_load_control_program_begins,'Device Cost Input'!$C$35*'Device Cost Input'!$C$29,0)/Million)</f>
        <v>0.125</v>
      </c>
      <c r="M159" s="22">
        <f>IF(M5&lt;MAX('Platform Cost Inputs'!$H$15:$H$20),0,IF(M6&gt;=Initiative9_Year_when_Hot_Water_and_Solar_load_control_program_begins,'Device Cost Input'!$C$35*'Device Cost Input'!$C$29,0)/Million)</f>
        <v>0.125</v>
      </c>
      <c r="N159" s="22">
        <f>IF(N5&lt;MAX('Platform Cost Inputs'!$H$15:$H$20),0,IF(N6&gt;=Initiative9_Year_when_Hot_Water_and_Solar_load_control_program_begins,'Device Cost Input'!$C$35*'Device Cost Input'!$C$29,0)/Million)</f>
        <v>0.125</v>
      </c>
      <c r="O159" s="22">
        <f>IF(O5&lt;MAX('Platform Cost Inputs'!$H$15:$H$20),0,IF(O6&gt;=Initiative9_Year_when_Hot_Water_and_Solar_load_control_program_begins,'Device Cost Input'!$C$35*'Device Cost Input'!$C$29,0)/Million)</f>
        <v>0.125</v>
      </c>
      <c r="P159" s="22">
        <f>IF(P5&lt;MAX('Platform Cost Inputs'!$H$15:$H$20),0,IF(P6&gt;=Initiative9_Year_when_Hot_Water_and_Solar_load_control_program_begins,'Device Cost Input'!$C$35*'Device Cost Input'!$C$29,0)/Million)</f>
        <v>0.125</v>
      </c>
      <c r="Q159" s="22">
        <f>IF(Q5&lt;MAX('Platform Cost Inputs'!$H$15:$H$20),0,IF(Q6&gt;=Initiative9_Year_when_Hot_Water_and_Solar_load_control_program_begins,'Device Cost Input'!$C$35*'Device Cost Input'!$C$29,0)/Million)</f>
        <v>0.125</v>
      </c>
      <c r="R159" s="22">
        <f>IF(R5&lt;MAX('Platform Cost Inputs'!$H$15:$H$20),0,IF(R6&gt;=Initiative9_Year_when_Hot_Water_and_Solar_load_control_program_begins,'Device Cost Input'!$C$35*'Device Cost Input'!$C$29,0)/Million)</f>
        <v>0.125</v>
      </c>
      <c r="S159" s="22">
        <f>IF(S5&lt;MAX('Platform Cost Inputs'!$H$15:$H$20),0,IF(S6&gt;=Initiative9_Year_when_Hot_Water_and_Solar_load_control_program_begins,'Device Cost Input'!$C$35*'Device Cost Input'!$C$29,0)/Million)</f>
        <v>0.125</v>
      </c>
      <c r="T159" s="22">
        <f>IF(T5&lt;MAX('Platform Cost Inputs'!$H$15:$H$20),0,IF(T6&gt;=Initiative9_Year_when_Hot_Water_and_Solar_load_control_program_begins,'Device Cost Input'!$C$35*'Device Cost Input'!$C$29,0)/Million)</f>
        <v>0.125</v>
      </c>
      <c r="U159" s="22">
        <f>IF(U5&lt;MAX('Platform Cost Inputs'!$H$15:$H$20),0,IF(U6&gt;=Initiative9_Year_when_Hot_Water_and_Solar_load_control_program_begins,'Device Cost Input'!$C$35*'Device Cost Input'!$C$29,0)/Million)</f>
        <v>0.125</v>
      </c>
      <c r="V159" s="22">
        <f>IF(V5&lt;MAX('Platform Cost Inputs'!$H$15:$H$20),0,IF(V6&gt;=Initiative9_Year_when_Hot_Water_and_Solar_load_control_program_begins,'Device Cost Input'!$C$35*'Device Cost Input'!$C$29,0)/Million)</f>
        <v>0.125</v>
      </c>
      <c r="W159" s="22">
        <f>IF(W5&lt;MAX('Platform Cost Inputs'!$H$15:$H$20),0,IF(W6&gt;=Initiative9_Year_when_Hot_Water_and_Solar_load_control_program_begins,'Device Cost Input'!$C$35*'Device Cost Input'!$C$29,0)/Million)</f>
        <v>0.125</v>
      </c>
      <c r="X159" s="22">
        <f>IF(X5&lt;MAX('Platform Cost Inputs'!$H$15:$H$20),0,IF(X6&gt;=Initiative9_Year_when_Hot_Water_and_Solar_load_control_program_begins,'Device Cost Input'!$C$35*'Device Cost Input'!$C$29,0)/Million)</f>
        <v>0.125</v>
      </c>
      <c r="Y159" s="22">
        <f>IF(Y5&lt;MAX('Platform Cost Inputs'!$H$15:$H$20),0,IF(Y6&gt;=Initiative9_Year_when_Hot_Water_and_Solar_load_control_program_begins,'Device Cost Input'!$C$35*'Device Cost Input'!$C$29,0)/Million)</f>
        <v>0.125</v>
      </c>
      <c r="Z159" s="22">
        <f>IF(Z5&lt;MAX('Platform Cost Inputs'!$H$15:$H$20),0,IF(Z6&gt;=Initiative9_Year_when_Hot_Water_and_Solar_load_control_program_begins,'Device Cost Input'!$C$35*'Device Cost Input'!$C$29,0)/Million)</f>
        <v>0.125</v>
      </c>
    </row>
    <row r="160" spans="1:26" ht="15.75" x14ac:dyDescent="0.25">
      <c r="A160" s="22" t="s">
        <v>349</v>
      </c>
      <c r="B160" s="22" t="s">
        <v>7</v>
      </c>
      <c r="C160" s="30" t="s">
        <v>9</v>
      </c>
      <c r="D160" s="31">
        <f t="shared" si="197"/>
        <v>1.4878169487878565</v>
      </c>
      <c r="E160" s="59">
        <f t="shared" si="194"/>
        <v>2.125</v>
      </c>
      <c r="F160" s="59"/>
      <c r="G160" s="22">
        <f>IF(G5&lt;MAX('Platform Cost Inputs'!$H$15:$H$20),0,IF(G6&gt;=Initiative9_Year_when_Hot_Water_and_Solar_load_control_program_begins,'Benefit Calcs'!F93*'Device Cost Input'!$C$36,0)/Million)</f>
        <v>0</v>
      </c>
      <c r="H160" s="22">
        <f>IF(H5&lt;MAX('Platform Cost Inputs'!$H$15:$H$20),0,IF(H6&gt;=Initiative9_Year_when_Hot_Water_and_Solar_load_control_program_begins,'Benefit Calcs'!G93*'Device Cost Input'!$C$36,0)/Million)</f>
        <v>0</v>
      </c>
      <c r="I160" s="22">
        <f>IF(I5&lt;MAX('Platform Cost Inputs'!$H$15:$H$20),0,IF(I6&gt;=Initiative9_Year_when_Hot_Water_and_Solar_load_control_program_begins,'Benefit Calcs'!H93*'Device Cost Input'!$C$36,0)/Million)</f>
        <v>0</v>
      </c>
      <c r="J160" s="22">
        <f>IF(J5&lt;MAX('Platform Cost Inputs'!$H$15:$H$20),0,IF(J6&gt;=Initiative9_Year_when_Hot_Water_and_Solar_load_control_program_begins,'Benefit Calcs'!I93*'Device Cost Input'!$C$36,0)/Million)</f>
        <v>4.4999999999999998E-2</v>
      </c>
      <c r="K160" s="22">
        <f>IF(K5&lt;MAX('Platform Cost Inputs'!$H$15:$H$20),0,IF(K6&gt;=Initiative9_Year_when_Hot_Water_and_Solar_load_control_program_begins,'Benefit Calcs'!J93*'Device Cost Input'!$C$36,0)/Million)</f>
        <v>5.5E-2</v>
      </c>
      <c r="L160" s="22">
        <f>IF(L5&lt;MAX('Platform Cost Inputs'!$H$15:$H$20),0,IF(L6&gt;=Initiative9_Year_when_Hot_Water_and_Solar_load_control_program_begins,'Benefit Calcs'!K93*'Device Cost Input'!$C$36,0)/Million)</f>
        <v>6.5000000000000002E-2</v>
      </c>
      <c r="M160" s="22">
        <f>IF(M5&lt;MAX('Platform Cost Inputs'!$H$15:$H$20),0,IF(M6&gt;=Initiative9_Year_when_Hot_Water_and_Solar_load_control_program_begins,'Benefit Calcs'!L93*'Device Cost Input'!$C$36,0)/Million)</f>
        <v>7.4999999999999997E-2</v>
      </c>
      <c r="N160" s="22">
        <f>IF(N5&lt;MAX('Platform Cost Inputs'!$H$15:$H$20),0,IF(N6&gt;=Initiative9_Year_when_Hot_Water_and_Solar_load_control_program_begins,'Benefit Calcs'!M93*'Device Cost Input'!$C$36,0)/Million)</f>
        <v>8.5000000000000006E-2</v>
      </c>
      <c r="O160" s="22">
        <f>IF(O5&lt;MAX('Platform Cost Inputs'!$H$15:$H$20),0,IF(O6&gt;=Initiative9_Year_when_Hot_Water_and_Solar_load_control_program_begins,'Benefit Calcs'!N93*'Device Cost Input'!$C$36,0)/Million)</f>
        <v>9.5000000000000001E-2</v>
      </c>
      <c r="P160" s="22">
        <f>IF(P5&lt;MAX('Platform Cost Inputs'!$H$15:$H$20),0,IF(P6&gt;=Initiative9_Year_when_Hot_Water_and_Solar_load_control_program_begins,'Benefit Calcs'!O93*'Device Cost Input'!$C$36,0)/Million)</f>
        <v>0.105</v>
      </c>
      <c r="Q160" s="22">
        <f>IF(Q5&lt;MAX('Platform Cost Inputs'!$H$15:$H$20),0,IF(Q6&gt;=Initiative9_Year_when_Hot_Water_and_Solar_load_control_program_begins,'Benefit Calcs'!P93*'Device Cost Input'!$C$36,0)/Million)</f>
        <v>0.115</v>
      </c>
      <c r="R160" s="22">
        <f>IF(R5&lt;MAX('Platform Cost Inputs'!$H$15:$H$20),0,IF(R6&gt;=Initiative9_Year_when_Hot_Water_and_Solar_load_control_program_begins,'Benefit Calcs'!Q93*'Device Cost Input'!$C$36,0)/Million)</f>
        <v>0.125</v>
      </c>
      <c r="S160" s="22">
        <f>IF(S5&lt;MAX('Platform Cost Inputs'!$H$15:$H$20),0,IF(S6&gt;=Initiative9_Year_when_Hot_Water_and_Solar_load_control_program_begins,'Benefit Calcs'!R93*'Device Cost Input'!$C$36,0)/Million)</f>
        <v>0.13500000000000001</v>
      </c>
      <c r="T160" s="22">
        <f>IF(T5&lt;MAX('Platform Cost Inputs'!$H$15:$H$20),0,IF(T6&gt;=Initiative9_Year_when_Hot_Water_and_Solar_load_control_program_begins,'Benefit Calcs'!S93*'Device Cost Input'!$C$36,0)/Million)</f>
        <v>0.14499999999999999</v>
      </c>
      <c r="U160" s="22">
        <f>IF(U5&lt;MAX('Platform Cost Inputs'!$H$15:$H$20),0,IF(U6&gt;=Initiative9_Year_when_Hot_Water_and_Solar_load_control_program_begins,'Benefit Calcs'!T93*'Device Cost Input'!$C$36,0)/Million)</f>
        <v>0.155</v>
      </c>
      <c r="V160" s="22">
        <f>IF(V5&lt;MAX('Platform Cost Inputs'!$H$15:$H$20),0,IF(V6&gt;=Initiative9_Year_when_Hot_Water_and_Solar_load_control_program_begins,'Benefit Calcs'!U93*'Device Cost Input'!$C$36,0)/Million)</f>
        <v>0.16500000000000001</v>
      </c>
      <c r="W160" s="22">
        <f>IF(W5&lt;MAX('Platform Cost Inputs'!$H$15:$H$20),0,IF(W6&gt;=Initiative9_Year_when_Hot_Water_and_Solar_load_control_program_begins,'Benefit Calcs'!V93*'Device Cost Input'!$C$36,0)/Million)</f>
        <v>0.17499999999999999</v>
      </c>
      <c r="X160" s="22">
        <f>IF(X5&lt;MAX('Platform Cost Inputs'!$H$15:$H$20),0,IF(X6&gt;=Initiative9_Year_when_Hot_Water_and_Solar_load_control_program_begins,'Benefit Calcs'!W93*'Device Cost Input'!$C$36,0)/Million)</f>
        <v>0.185</v>
      </c>
      <c r="Y160" s="22">
        <f>IF(Y5&lt;MAX('Platform Cost Inputs'!$H$15:$H$20),0,IF(Y6&gt;=Initiative9_Year_when_Hot_Water_and_Solar_load_control_program_begins,'Benefit Calcs'!X93*'Device Cost Input'!$C$36,0)/Million)</f>
        <v>0.19500000000000001</v>
      </c>
      <c r="Z160" s="22">
        <f>IF(Z5&lt;MAX('Platform Cost Inputs'!$H$15:$H$20),0,IF(Z6&gt;=Initiative9_Year_when_Hot_Water_and_Solar_load_control_program_begins,'Benefit Calcs'!Y93*'Device Cost Input'!$C$36,0)/Million)</f>
        <v>0.20499999999999999</v>
      </c>
    </row>
    <row r="161" spans="1:27" s="1" customFormat="1" ht="15.75" x14ac:dyDescent="0.25">
      <c r="A161" s="211" t="s">
        <v>340</v>
      </c>
      <c r="B161" s="211" t="s">
        <v>7</v>
      </c>
      <c r="C161" s="212" t="str">
        <f>C160</f>
        <v>NPV</v>
      </c>
      <c r="D161" s="213">
        <f>SUM(D153:D160)</f>
        <v>44.354815171265628</v>
      </c>
      <c r="E161" s="214">
        <f>SUM(E153:E160)</f>
        <v>62.706070311538888</v>
      </c>
      <c r="F161" s="214"/>
      <c r="G161" s="215">
        <f t="shared" ref="G161" si="198">SUM(G154:G160)</f>
        <v>0</v>
      </c>
      <c r="H161" s="215">
        <f t="shared" ref="H161" si="199">SUM(H154:H160)</f>
        <v>0</v>
      </c>
      <c r="I161" s="215">
        <f t="shared" ref="I161" si="200">SUM(I154:I160)</f>
        <v>0.16041666666666668</v>
      </c>
      <c r="J161" s="215">
        <f t="shared" ref="J161" si="201">SUM(J154:J160)</f>
        <v>1.5615999539943024</v>
      </c>
      <c r="K161" s="215">
        <f t="shared" ref="K161" si="202">SUM(K154:K160)</f>
        <v>1.6350779901532047</v>
      </c>
      <c r="L161" s="215">
        <f t="shared" ref="L161" si="203">SUM(L154:L160)</f>
        <v>1.7251772683344042</v>
      </c>
      <c r="M161" s="215">
        <f t="shared" ref="M161" si="204">SUM(M154:M160)</f>
        <v>1.8334637782187537</v>
      </c>
      <c r="N161" s="215">
        <f t="shared" ref="N161" si="205">SUM(N154:N160)</f>
        <v>1.9608458432873588</v>
      </c>
      <c r="O161" s="215">
        <f t="shared" ref="O161" si="206">SUM(O154:O160)</f>
        <v>2.1151312363664441</v>
      </c>
      <c r="P161" s="215">
        <f t="shared" ref="P161" si="207">SUM(P154:P160)</f>
        <v>2.2888909838163087</v>
      </c>
      <c r="Q161" s="215">
        <f t="shared" ref="Q161" si="208">SUM(Q154:Q160)</f>
        <v>2.4976997547418414</v>
      </c>
      <c r="R161" s="215">
        <f t="shared" ref="R161" si="209">SUM(R154:R160)</f>
        <v>2.732626685791272</v>
      </c>
      <c r="S161" s="215">
        <f t="shared" ref="S161" si="210">SUM(S154:S160)</f>
        <v>2.982981389833073</v>
      </c>
      <c r="T161" s="215">
        <f t="shared" ref="T161" si="211">SUM(T154:T160)</f>
        <v>3.2792552832319353</v>
      </c>
      <c r="U161" s="215">
        <f t="shared" ref="U161" si="212">SUM(U154:U160)</f>
        <v>3.6089956670355519</v>
      </c>
      <c r="V161" s="215">
        <f t="shared" ref="V161" si="213">SUM(V154:V160)</f>
        <v>4.0648733043443466</v>
      </c>
      <c r="W161" s="215">
        <f t="shared" ref="W161" si="214">SUM(W154:W160)</f>
        <v>4.4690284281711605</v>
      </c>
      <c r="X161" s="215">
        <f t="shared" ref="X161" si="215">SUM(X154:X160)</f>
        <v>4.8915004916255569</v>
      </c>
      <c r="Y161" s="215">
        <f t="shared" ref="Y161" si="216">SUM(Y154:Y160)</f>
        <v>5.3007947202058325</v>
      </c>
      <c r="Z161" s="215">
        <f t="shared" ref="Z161" si="217">SUM(Z154:Z160)</f>
        <v>5.6977108657208753</v>
      </c>
    </row>
    <row r="162" spans="1:27" s="1" customFormat="1" x14ac:dyDescent="0.25">
      <c r="E162" s="66"/>
      <c r="F162" s="66"/>
    </row>
    <row r="163" spans="1:27" s="1" customFormat="1" ht="15.75" x14ac:dyDescent="0.25">
      <c r="A163" s="99" t="s">
        <v>315</v>
      </c>
      <c r="B163" s="211"/>
      <c r="C163" s="217" t="s">
        <v>9</v>
      </c>
      <c r="D163" s="218">
        <f t="shared" ref="D163" ca="1" si="218">SUMPRODUCT(G163:Z163,G$7:Z$7)</f>
        <v>107.12131122600631</v>
      </c>
      <c r="E163" s="214">
        <f ca="1">SUM(G163:Z163)</f>
        <v>139.78947181582458</v>
      </c>
      <c r="F163" s="214"/>
      <c r="G163" s="219">
        <f t="shared" ref="G163:Z163" ca="1" si="219">IF(G6&lt;=Project_Assessment_Period,SUM(G161,G135,G150,G109,G128,G95,G81),0)</f>
        <v>6.7182313333333337</v>
      </c>
      <c r="H163" s="219">
        <f t="shared" ca="1" si="219"/>
        <v>9.6281641541904772</v>
      </c>
      <c r="I163" s="219">
        <f t="shared" ca="1" si="219"/>
        <v>7.3849874008571419</v>
      </c>
      <c r="J163" s="219">
        <f t="shared" ca="1" si="219"/>
        <v>6.0157942681847789</v>
      </c>
      <c r="K163" s="219">
        <f t="shared" ca="1" si="219"/>
        <v>6.8343352176770136</v>
      </c>
      <c r="L163" s="219">
        <f t="shared" ca="1" si="219"/>
        <v>5.6037774091915473</v>
      </c>
      <c r="M163" s="219">
        <f t="shared" ca="1" si="219"/>
        <v>3.893611678218754</v>
      </c>
      <c r="N163" s="219">
        <f t="shared" ca="1" si="219"/>
        <v>7.3801094099540254</v>
      </c>
      <c r="O163" s="219">
        <f t="shared" ca="1" si="219"/>
        <v>7.8413203030331111</v>
      </c>
      <c r="P163" s="219">
        <f t="shared" ca="1" si="219"/>
        <v>6.4614685504829747</v>
      </c>
      <c r="Q163" s="219">
        <f t="shared" ca="1" si="219"/>
        <v>5.1222743214085078</v>
      </c>
      <c r="R163" s="219">
        <f t="shared" ca="1" si="219"/>
        <v>5.6099179191246051</v>
      </c>
      <c r="S163" s="219">
        <f t="shared" ca="1" si="219"/>
        <v>5.0431292898330735</v>
      </c>
      <c r="T163" s="219">
        <f t="shared" ca="1" si="219"/>
        <v>5.3394031832319353</v>
      </c>
      <c r="U163" s="219">
        <f t="shared" ca="1" si="219"/>
        <v>9.0282592337022187</v>
      </c>
      <c r="V163" s="219">
        <f t="shared" ca="1" si="219"/>
        <v>9.7910623710110141</v>
      </c>
      <c r="W163" s="219">
        <f t="shared" ca="1" si="219"/>
        <v>8.6416059948378265</v>
      </c>
      <c r="X163" s="219">
        <f t="shared" ca="1" si="219"/>
        <v>7.5160750582922233</v>
      </c>
      <c r="Y163" s="219">
        <f t="shared" ca="1" si="219"/>
        <v>8.1780859535391652</v>
      </c>
      <c r="Z163" s="219">
        <f t="shared" ca="1" si="219"/>
        <v>7.7578587657208757</v>
      </c>
      <c r="AA163" s="48"/>
    </row>
    <row r="164" spans="1:27" s="26" customFormat="1" x14ac:dyDescent="0.25">
      <c r="F164" s="72"/>
      <c r="G164" s="48">
        <f ca="1">-G163</f>
        <v>-6.7182313333333337</v>
      </c>
      <c r="H164" s="48">
        <f t="shared" ref="H164:Z164" ca="1" si="220">-H163</f>
        <v>-9.6281641541904772</v>
      </c>
      <c r="I164" s="48">
        <f t="shared" ca="1" si="220"/>
        <v>-7.3849874008571419</v>
      </c>
      <c r="J164" s="48">
        <f t="shared" ca="1" si="220"/>
        <v>-6.0157942681847789</v>
      </c>
      <c r="K164" s="48">
        <f t="shared" ca="1" si="220"/>
        <v>-6.8343352176770136</v>
      </c>
      <c r="L164" s="48">
        <f t="shared" ca="1" si="220"/>
        <v>-5.6037774091915473</v>
      </c>
      <c r="M164" s="48">
        <f t="shared" ca="1" si="220"/>
        <v>-3.893611678218754</v>
      </c>
      <c r="N164" s="48">
        <f t="shared" ca="1" si="220"/>
        <v>-7.3801094099540254</v>
      </c>
      <c r="O164" s="48">
        <f t="shared" ca="1" si="220"/>
        <v>-7.8413203030331111</v>
      </c>
      <c r="P164" s="48">
        <f t="shared" ca="1" si="220"/>
        <v>-6.4614685504829747</v>
      </c>
      <c r="Q164" s="48">
        <f t="shared" ca="1" si="220"/>
        <v>-5.1222743214085078</v>
      </c>
      <c r="R164" s="48">
        <f t="shared" ca="1" si="220"/>
        <v>-5.6099179191246051</v>
      </c>
      <c r="S164" s="48">
        <f t="shared" ca="1" si="220"/>
        <v>-5.0431292898330735</v>
      </c>
      <c r="T164" s="48">
        <f t="shared" ca="1" si="220"/>
        <v>-5.3394031832319353</v>
      </c>
      <c r="U164" s="48">
        <f t="shared" ca="1" si="220"/>
        <v>-9.0282592337022187</v>
      </c>
      <c r="V164" s="48">
        <f t="shared" ca="1" si="220"/>
        <v>-9.7910623710110141</v>
      </c>
      <c r="W164" s="48">
        <f t="shared" ca="1" si="220"/>
        <v>-8.6416059948378265</v>
      </c>
      <c r="X164" s="48">
        <f t="shared" ca="1" si="220"/>
        <v>-7.5160750582922233</v>
      </c>
      <c r="Y164" s="48">
        <f t="shared" ca="1" si="220"/>
        <v>-8.1780859535391652</v>
      </c>
      <c r="Z164" s="48">
        <f t="shared" ca="1" si="220"/>
        <v>-7.7578587657208757</v>
      </c>
      <c r="AA164" s="48"/>
    </row>
    <row r="165" spans="1:27" x14ac:dyDescent="0.25">
      <c r="A165" s="91"/>
      <c r="B165" s="91"/>
      <c r="C165" s="91"/>
      <c r="D165" s="91"/>
      <c r="E165" s="91"/>
      <c r="F165" s="91"/>
      <c r="G165" s="205">
        <f ca="1">-G81-G109-G128-G135</f>
        <v>-6.7182313333333337</v>
      </c>
      <c r="H165" s="205">
        <f t="shared" ref="H165:Z165" ca="1" si="221">-H81-H109-H128-H135</f>
        <v>-9.2393493641904758</v>
      </c>
      <c r="I165" s="205">
        <f t="shared" ca="1" si="221"/>
        <v>-6.1321263641904764</v>
      </c>
      <c r="J165" s="205">
        <f t="shared" ca="1" si="221"/>
        <v>-3.0361203641904759</v>
      </c>
      <c r="K165" s="205">
        <f t="shared" ca="1" si="221"/>
        <v>-3.5415536975238093</v>
      </c>
      <c r="L165" s="205">
        <f t="shared" ca="1" si="221"/>
        <v>-1.9072670308571431</v>
      </c>
      <c r="M165" s="205">
        <f t="shared" ca="1" si="221"/>
        <v>0</v>
      </c>
      <c r="N165" s="205">
        <f t="shared" ca="1" si="221"/>
        <v>-3.3591156666666668</v>
      </c>
      <c r="O165" s="205">
        <f t="shared" ca="1" si="221"/>
        <v>-3.666041166666667</v>
      </c>
      <c r="P165" s="205">
        <f t="shared" ca="1" si="221"/>
        <v>-2.1124296666666664</v>
      </c>
      <c r="Q165" s="205">
        <f t="shared" ca="1" si="221"/>
        <v>-0.56442666666666663</v>
      </c>
      <c r="R165" s="205">
        <f t="shared" ca="1" si="221"/>
        <v>-0.81714333333333333</v>
      </c>
      <c r="S165" s="205">
        <f t="shared" ca="1" si="221"/>
        <v>0</v>
      </c>
      <c r="T165" s="205">
        <f t="shared" ca="1" si="221"/>
        <v>0</v>
      </c>
      <c r="U165" s="205">
        <f t="shared" ca="1" si="221"/>
        <v>-3.3591156666666668</v>
      </c>
      <c r="V165" s="205">
        <f t="shared" ca="1" si="221"/>
        <v>-3.666041166666667</v>
      </c>
      <c r="W165" s="205">
        <f t="shared" ca="1" si="221"/>
        <v>-2.1124296666666664</v>
      </c>
      <c r="X165" s="205">
        <f t="shared" ca="1" si="221"/>
        <v>-0.56442666666666663</v>
      </c>
      <c r="Y165" s="205">
        <f t="shared" ca="1" si="221"/>
        <v>-0.81714333333333333</v>
      </c>
      <c r="Z165" s="205">
        <f t="shared" ca="1" si="221"/>
        <v>0</v>
      </c>
    </row>
  </sheetData>
  <pageMargins left="0.7" right="0.7" top="0.75" bottom="0.75" header="0.3" footer="0.3"/>
  <pageSetup paperSize="9" orientation="portrait" r:id="rId1"/>
  <ignoredErrors>
    <ignoredError sqref="G142:I142"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6"/>
  <sheetViews>
    <sheetView topLeftCell="A2" workbookViewId="0">
      <selection activeCell="F7" sqref="F7"/>
    </sheetView>
  </sheetViews>
  <sheetFormatPr defaultRowHeight="15" x14ac:dyDescent="0.25"/>
  <cols>
    <col min="2" max="2" width="39.42578125" customWidth="1"/>
    <col min="3" max="3" width="18" customWidth="1"/>
    <col min="4" max="4" width="26.85546875" customWidth="1"/>
  </cols>
  <sheetData>
    <row r="2" spans="1:4" x14ac:dyDescent="0.25">
      <c r="A2" t="s">
        <v>54</v>
      </c>
    </row>
    <row r="3" spans="1:4" ht="15.75" thickBot="1" x14ac:dyDescent="0.3"/>
    <row r="4" spans="1:4" ht="15.75" thickBot="1" x14ac:dyDescent="0.3">
      <c r="A4" s="18"/>
      <c r="B4" s="19" t="s">
        <v>41</v>
      </c>
      <c r="C4" s="19" t="s">
        <v>42</v>
      </c>
      <c r="D4" s="19" t="s">
        <v>43</v>
      </c>
    </row>
    <row r="5" spans="1:4" ht="15.75" thickBot="1" x14ac:dyDescent="0.3">
      <c r="A5" s="20">
        <v>1</v>
      </c>
      <c r="B5" s="21">
        <v>9.91</v>
      </c>
      <c r="C5" s="21">
        <v>13.5</v>
      </c>
      <c r="D5" s="21" t="s">
        <v>44</v>
      </c>
    </row>
    <row r="6" spans="1:4" ht="15.75" thickBot="1" x14ac:dyDescent="0.3">
      <c r="A6" s="20">
        <v>2</v>
      </c>
      <c r="B6" s="21">
        <v>9.91</v>
      </c>
      <c r="C6" s="21">
        <v>9.9</v>
      </c>
      <c r="D6" s="21" t="s">
        <v>45</v>
      </c>
    </row>
    <row r="7" spans="1:4" ht="15.75" thickBot="1" x14ac:dyDescent="0.3">
      <c r="A7" s="20">
        <v>3</v>
      </c>
      <c r="B7" s="21">
        <v>12.5</v>
      </c>
      <c r="C7" s="21">
        <v>11.3</v>
      </c>
      <c r="D7" s="21" t="s">
        <v>46</v>
      </c>
    </row>
    <row r="8" spans="1:4" ht="15.75" thickBot="1" x14ac:dyDescent="0.3">
      <c r="A8" s="20">
        <v>4</v>
      </c>
      <c r="B8" s="21">
        <v>11.47</v>
      </c>
      <c r="C8" s="21">
        <v>9.9</v>
      </c>
      <c r="D8" s="21" t="s">
        <v>47</v>
      </c>
    </row>
    <row r="9" spans="1:4" ht="15.75" thickBot="1" x14ac:dyDescent="0.3">
      <c r="A9" s="20">
        <v>5</v>
      </c>
      <c r="B9" s="21">
        <v>10.9</v>
      </c>
      <c r="C9" s="21">
        <v>9.9</v>
      </c>
      <c r="D9" s="21" t="s">
        <v>48</v>
      </c>
    </row>
    <row r="10" spans="1:4" ht="15.75" thickBot="1" x14ac:dyDescent="0.3">
      <c r="A10" s="20">
        <v>6</v>
      </c>
      <c r="B10" s="21">
        <v>16.079999999999998</v>
      </c>
      <c r="C10" s="21">
        <v>12</v>
      </c>
      <c r="D10" s="21" t="s">
        <v>49</v>
      </c>
    </row>
    <row r="11" spans="1:4" ht="15.75" thickBot="1" x14ac:dyDescent="0.3">
      <c r="A11" s="20">
        <v>7</v>
      </c>
      <c r="B11" s="21">
        <v>18.600000000000001</v>
      </c>
      <c r="C11" s="21">
        <v>9.9</v>
      </c>
      <c r="D11" s="21" t="s">
        <v>50</v>
      </c>
    </row>
    <row r="12" spans="1:4" ht="15.75" thickBot="1" x14ac:dyDescent="0.3">
      <c r="A12" s="20">
        <v>8</v>
      </c>
      <c r="B12" s="21">
        <v>14.5</v>
      </c>
      <c r="C12" s="21">
        <v>11.3</v>
      </c>
      <c r="D12" s="21" t="s">
        <v>51</v>
      </c>
    </row>
    <row r="13" spans="1:4" ht="15.75" thickBot="1" x14ac:dyDescent="0.3">
      <c r="A13" s="20">
        <v>9</v>
      </c>
      <c r="B13" s="21">
        <v>19</v>
      </c>
      <c r="C13" s="21">
        <v>11.3</v>
      </c>
      <c r="D13" s="21" t="s">
        <v>52</v>
      </c>
    </row>
    <row r="14" spans="1:4" ht="15.75" thickBot="1" x14ac:dyDescent="0.3">
      <c r="A14" s="20">
        <v>10</v>
      </c>
      <c r="B14" s="21">
        <v>12.99</v>
      </c>
      <c r="C14" s="21">
        <v>9.9</v>
      </c>
      <c r="D14" s="21" t="s">
        <v>53</v>
      </c>
    </row>
    <row r="15" spans="1:4" x14ac:dyDescent="0.25">
      <c r="A15" t="s">
        <v>24</v>
      </c>
      <c r="B15">
        <f>AVERAGE(B5:B14)</f>
        <v>13.586000000000002</v>
      </c>
      <c r="C15">
        <f>AVERAGE(C5:C14)</f>
        <v>10.89</v>
      </c>
    </row>
    <row r="16" spans="1:4" x14ac:dyDescent="0.25">
      <c r="C16" t="s">
        <v>14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9</vt:i4>
      </vt:variant>
      <vt:variant>
        <vt:lpstr>Charts</vt:lpstr>
      </vt:variant>
      <vt:variant>
        <vt:i4>6</vt:i4>
      </vt:variant>
      <vt:variant>
        <vt:lpstr>Named Ranges</vt:lpstr>
      </vt:variant>
      <vt:variant>
        <vt:i4>42</vt:i4>
      </vt:variant>
    </vt:vector>
  </HeadingPairs>
  <TitlesOfParts>
    <vt:vector size="57" baseType="lpstr">
      <vt:lpstr>Definitions</vt:lpstr>
      <vt:lpstr>Summary</vt:lpstr>
      <vt:lpstr>Benefit Input Pars</vt:lpstr>
      <vt:lpstr>Platform Cost Inputs</vt:lpstr>
      <vt:lpstr>Time Series Data Inputs</vt:lpstr>
      <vt:lpstr>Device Cost Input</vt:lpstr>
      <vt:lpstr>Benefit Calcs</vt:lpstr>
      <vt:lpstr>Cost Calcs</vt:lpstr>
      <vt:lpstr>Retailer Controlled Load</vt:lpstr>
      <vt:lpstr>Benefit CFs</vt:lpstr>
      <vt:lpstr>CB timeseries Option1 </vt:lpstr>
      <vt:lpstr>CB timeseries Option (no Opex)</vt:lpstr>
      <vt:lpstr>CB timeseries Option2</vt:lpstr>
      <vt:lpstr>CB timeseries Option2 (no Opex)</vt:lpstr>
      <vt:lpstr>Demand Reduction</vt:lpstr>
      <vt:lpstr>Electricity_Distibuted_in_VPN</vt:lpstr>
      <vt:lpstr>Hot_Water_Load_Control_shifted_to_use_Customer_Solar____of_hot_water_control</vt:lpstr>
      <vt:lpstr>IInitiative9_Increase_in_number_of_solar_customers_that_are_export_constrained_where_VPN_use_Flexible_Grid_to_control_chargin</vt:lpstr>
      <vt:lpstr>Initiative4_Year_when_Option_2_Theft_Detection_Available</vt:lpstr>
      <vt:lpstr>Initiative4_Year_when_Option_2_UMS_Unrecording_Available</vt:lpstr>
      <vt:lpstr>Initiative6_Percentage_of_electricity_that_is_UMS_underrecording</vt:lpstr>
      <vt:lpstr>Initiative6_Percentage_of_Energy_Theft_in_Victoria</vt:lpstr>
      <vt:lpstr>Initiative6_Percentage_theft_reduction_with_Flex_Grid_Option_1</vt:lpstr>
      <vt:lpstr>Initiative6_Percentage_theft_reduction_with_Flex_Grid_Option_2</vt:lpstr>
      <vt:lpstr>Initiative6_Percentage_unrecorded_UMS_reduction_with_Flex_Grid_Option_2</vt:lpstr>
      <vt:lpstr>Initiative6_Value_per_KWH_saved</vt:lpstr>
      <vt:lpstr>Initiative6_Year_when_Option_1_Theft_Detection_Available</vt:lpstr>
      <vt:lpstr>Initiative6_Year_when_Option_2_Theft_Detection_Available</vt:lpstr>
      <vt:lpstr>Initiative6_Year_when_Option_2_UMS_Unrecording_Available</vt:lpstr>
      <vt:lpstr>Initiative7_Annual_Equivalent_Savings_available_from_Commencement_of_a_VPN_Summer_Saver_Program_for_Option_1</vt:lpstr>
      <vt:lpstr>Initiative7_Year_when_Flexible_Grid_Network_available_for_Summer_Saver_Program_for__VPN_with_Option_1</vt:lpstr>
      <vt:lpstr>Initiative8_Average_charging_levels_of_Evs</vt:lpstr>
      <vt:lpstr>Initiative8_Percentage_of_Commercial_Charging_infrastructure_charging_at_peak_with_Flexible_Grids</vt:lpstr>
      <vt:lpstr>Initiative8_Percentage_of_Evs_charging_at_peak_with_Option_1_Flexible_Grid_Control</vt:lpstr>
      <vt:lpstr>Initiative8_Percentage_of_Publilc_charging_Infrastructure_Charging_at_Peak_with_Flexible_Grids</vt:lpstr>
      <vt:lpstr>Initiative8_Year_when_Option_1_Flexible_Charging_for_Residential_Evs_available</vt:lpstr>
      <vt:lpstr>Initiative8_Year_when_Option_2_Flexible_Charging_for_Commercial_Infrastructure_available</vt:lpstr>
      <vt:lpstr>Initiative8_Year_when_Option_2_Flexible_Charging_for_Public_Charging_Infrastructure_available</vt:lpstr>
      <vt:lpstr>Initiative9_Annual_Number_of_Customers_per_year_that_have_load_control_devices_fitted</vt:lpstr>
      <vt:lpstr>Initiative9_Average_Annual_Expenditure_on_Demand_Augmentation</vt:lpstr>
      <vt:lpstr>Initiative9_Average_annual_kWh_now_useful</vt:lpstr>
      <vt:lpstr>Initiative9_Average_kVA_saved_per_customer</vt:lpstr>
      <vt:lpstr>Initiative9_Avoided_wholesale_cost_of_KWh</vt:lpstr>
      <vt:lpstr>Initiative9_Cost_of_Hot_Water_Control_Electicity</vt:lpstr>
      <vt:lpstr>Initiative9_Feed_in_Tariff_Revenue</vt:lpstr>
      <vt:lpstr>Initiative9_Initial_number_of_solar_customers_that_are_export_constrained_where_VPN_use_Flexible_Grid_to_control_chargin</vt:lpstr>
      <vt:lpstr>Initiative9_Number_of_hot_Water_Customers_shifted_to_Solar_with_VPN_Control</vt:lpstr>
      <vt:lpstr>Initiative9_Percentage_Permanently_Avoided_from_Option_1_Load_Monitoring__control_and_Augmentation</vt:lpstr>
      <vt:lpstr>Initiative9_Percentage_Permanently_Avoided_from_Option_2_Load_Monitoring__control_and_Augmentation</vt:lpstr>
      <vt:lpstr>Initiative9_Year_when_Hot_Water_and_Solar_load_control_program_begins</vt:lpstr>
      <vt:lpstr>Initiative9_Year_when_Option_1_Customer_Load_Monitoring_and_Optimisation_Available</vt:lpstr>
      <vt:lpstr>Million</vt:lpstr>
      <vt:lpstr>Option2_scale</vt:lpstr>
      <vt:lpstr>Peak_Network_Demand</vt:lpstr>
      <vt:lpstr>Project_Assessment_Period</vt:lpstr>
      <vt:lpstr>Project_Complete_Year</vt:lpstr>
      <vt:lpstr>Real_Discount_Rate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2020-01-22T05:46:04Z</dcterms:created>
  <dcterms:modified xsi:type="dcterms:W3CDTF">2020-01-22T05:46:10Z</dcterms:modified>
</cp:coreProperties>
</file>