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661"/>
  </bookViews>
  <sheets>
    <sheet name="Output_UE" sheetId="76" r:id="rId1"/>
    <sheet name="Output_VPN" sheetId="72" r:id="rId2"/>
    <sheet name="Summary" sheetId="70" r:id="rId3"/>
    <sheet name="Assumptions" sheetId="74" r:id="rId4"/>
    <sheet name="Option 1" sheetId="69" r:id="rId5"/>
    <sheet name="Option 2" sheetId="71" r:id="rId6"/>
    <sheet name="Benefits" sheetId="75" r:id="rId7"/>
  </sheets>
  <definedNames>
    <definedName name="Conv_2021">Assumptions!$B$18</definedName>
    <definedName name="Option1_categories">'Option 1'!$C$43:$C$48</definedName>
    <definedName name="Option1_costs">'Option 1'!$Q$43:$U$48</definedName>
    <definedName name="Option2_categories">'Option 2'!$C$43:$C$48</definedName>
    <definedName name="Option2_costs">'Option 2'!$Q$43:$U$48</definedName>
    <definedName name="_xlnm.Print_Area" localSheetId="2">Summary!$A$1:$J$26</definedName>
    <definedName name="years">'Option 1'!$Q$8:$U$8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70" l="1"/>
  <c r="Q10" i="71"/>
  <c r="R10" i="71"/>
  <c r="S10" i="71"/>
  <c r="T10" i="71"/>
  <c r="U10" i="71"/>
  <c r="Q11" i="71"/>
  <c r="R11" i="71"/>
  <c r="S11" i="71"/>
  <c r="T11" i="71"/>
  <c r="U11" i="71"/>
  <c r="Q12" i="71"/>
  <c r="R12" i="71"/>
  <c r="S12" i="71"/>
  <c r="T12" i="71"/>
  <c r="U12" i="71"/>
  <c r="Q13" i="71"/>
  <c r="R13" i="71"/>
  <c r="S13" i="71"/>
  <c r="T13" i="71"/>
  <c r="U13" i="71"/>
  <c r="Q14" i="71"/>
  <c r="R14" i="71"/>
  <c r="S14" i="71"/>
  <c r="T14" i="71"/>
  <c r="U14" i="71"/>
  <c r="Q15" i="71"/>
  <c r="R15" i="71"/>
  <c r="S15" i="71"/>
  <c r="T15" i="71"/>
  <c r="U15" i="71"/>
  <c r="Q16" i="71"/>
  <c r="R16" i="71"/>
  <c r="S16" i="71"/>
  <c r="T16" i="71"/>
  <c r="U16" i="71"/>
  <c r="Q17" i="71"/>
  <c r="R17" i="71"/>
  <c r="S17" i="71"/>
  <c r="T17" i="71"/>
  <c r="U17" i="71"/>
  <c r="Q18" i="71"/>
  <c r="R18" i="71"/>
  <c r="S18" i="71"/>
  <c r="T18" i="71"/>
  <c r="U18" i="71"/>
  <c r="Q21" i="71"/>
  <c r="R21" i="71"/>
  <c r="S21" i="71"/>
  <c r="T21" i="71"/>
  <c r="U21" i="71"/>
  <c r="Q22" i="71"/>
  <c r="R22" i="71"/>
  <c r="S22" i="71"/>
  <c r="T22" i="71"/>
  <c r="U22" i="71"/>
  <c r="Q23" i="71"/>
  <c r="R23" i="71"/>
  <c r="S23" i="71"/>
  <c r="T23" i="71"/>
  <c r="U23" i="71"/>
  <c r="Q24" i="71"/>
  <c r="R24" i="71"/>
  <c r="S24" i="71"/>
  <c r="T24" i="71"/>
  <c r="U24" i="71"/>
  <c r="Q25" i="71"/>
  <c r="R25" i="71"/>
  <c r="S25" i="71"/>
  <c r="T25" i="71"/>
  <c r="U25" i="71"/>
  <c r="Q26" i="71"/>
  <c r="R26" i="71"/>
  <c r="S26" i="71"/>
  <c r="T26" i="71"/>
  <c r="U26" i="71"/>
  <c r="Q29" i="71"/>
  <c r="R29" i="71"/>
  <c r="S29" i="71"/>
  <c r="T29" i="71"/>
  <c r="U29" i="71"/>
  <c r="Q30" i="71"/>
  <c r="R30" i="71"/>
  <c r="S30" i="71"/>
  <c r="T30" i="71"/>
  <c r="U30" i="71"/>
  <c r="Q31" i="71"/>
  <c r="R31" i="71"/>
  <c r="S31" i="71"/>
  <c r="T31" i="71"/>
  <c r="U31" i="71"/>
  <c r="Q32" i="71"/>
  <c r="R32" i="71"/>
  <c r="S32" i="71"/>
  <c r="T32" i="71"/>
  <c r="U32" i="71"/>
  <c r="Q33" i="71"/>
  <c r="R33" i="71"/>
  <c r="S33" i="71"/>
  <c r="T33" i="71"/>
  <c r="U33" i="71"/>
  <c r="Q34" i="71"/>
  <c r="R34" i="71"/>
  <c r="S34" i="71"/>
  <c r="T34" i="71"/>
  <c r="U34" i="71"/>
  <c r="Q35" i="71"/>
  <c r="R35" i="71"/>
  <c r="S35" i="71"/>
  <c r="T35" i="71"/>
  <c r="U35" i="71"/>
  <c r="Q36" i="71"/>
  <c r="R36" i="71"/>
  <c r="S36" i="71"/>
  <c r="T36" i="71"/>
  <c r="U36" i="71"/>
  <c r="Q37" i="71"/>
  <c r="R37" i="71"/>
  <c r="S37" i="71"/>
  <c r="T37" i="71"/>
  <c r="U37" i="71"/>
  <c r="Q38" i="71"/>
  <c r="R38" i="71"/>
  <c r="S38" i="71"/>
  <c r="T38" i="71"/>
  <c r="U38" i="71"/>
  <c r="Q39" i="71"/>
  <c r="R39" i="71"/>
  <c r="S39" i="71"/>
  <c r="T39" i="71"/>
  <c r="U39" i="71"/>
  <c r="E14" i="74"/>
  <c r="F14" i="74"/>
  <c r="G14" i="74"/>
  <c r="H14" i="74"/>
  <c r="I14" i="74"/>
  <c r="J14" i="74"/>
  <c r="B18" i="74"/>
  <c r="G39" i="70"/>
  <c r="G31" i="75"/>
  <c r="G32" i="75"/>
  <c r="G7" i="75"/>
  <c r="G8" i="75"/>
  <c r="G9" i="75"/>
  <c r="G35" i="75"/>
  <c r="F76" i="71"/>
  <c r="F75" i="71"/>
  <c r="F74" i="71"/>
  <c r="F73" i="71"/>
  <c r="F72" i="71"/>
  <c r="F71" i="71"/>
  <c r="Z10" i="76"/>
  <c r="Y10" i="76"/>
  <c r="X10" i="76"/>
  <c r="W10" i="76"/>
  <c r="V10" i="76"/>
  <c r="S10" i="76"/>
  <c r="T10" i="76"/>
  <c r="P10" i="76"/>
  <c r="Q10" i="76"/>
  <c r="M10" i="76"/>
  <c r="N10" i="76"/>
  <c r="J10" i="76"/>
  <c r="K10" i="76"/>
  <c r="G10" i="76"/>
  <c r="H10" i="76"/>
  <c r="D5" i="76"/>
  <c r="A1" i="76"/>
  <c r="B79" i="70"/>
  <c r="B78" i="70"/>
  <c r="B77" i="70"/>
  <c r="B76" i="70"/>
  <c r="J75" i="70"/>
  <c r="I75" i="70"/>
  <c r="H75" i="70"/>
  <c r="G75" i="70"/>
  <c r="F75" i="70"/>
  <c r="B65" i="70"/>
  <c r="D71" i="70"/>
  <c r="J65" i="70"/>
  <c r="I65" i="70"/>
  <c r="H65" i="70"/>
  <c r="G65" i="70"/>
  <c r="F65" i="70"/>
  <c r="B55" i="70"/>
  <c r="D59" i="70"/>
  <c r="J55" i="70"/>
  <c r="I55" i="70"/>
  <c r="H55" i="70"/>
  <c r="G55" i="70"/>
  <c r="F55" i="70"/>
  <c r="F76" i="69"/>
  <c r="F75" i="69"/>
  <c r="F74" i="69"/>
  <c r="F73" i="69"/>
  <c r="F72" i="69"/>
  <c r="F71" i="69"/>
  <c r="D61" i="70"/>
  <c r="D57" i="70"/>
  <c r="D69" i="70"/>
  <c r="D56" i="70"/>
  <c r="D60" i="70"/>
  <c r="D68" i="70"/>
  <c r="D58" i="70"/>
  <c r="D66" i="70"/>
  <c r="D70" i="70"/>
  <c r="D67" i="70"/>
  <c r="I9" i="75"/>
  <c r="I19" i="75"/>
  <c r="I20" i="75"/>
  <c r="I13" i="75"/>
  <c r="I14" i="75"/>
  <c r="I22" i="75"/>
  <c r="F19" i="75"/>
  <c r="F20" i="75"/>
  <c r="G19" i="75"/>
  <c r="G20" i="75"/>
  <c r="E19" i="75"/>
  <c r="E20" i="75"/>
  <c r="G13" i="75"/>
  <c r="G14" i="75"/>
  <c r="F13" i="75"/>
  <c r="F14" i="75"/>
  <c r="E13" i="75"/>
  <c r="E14" i="75"/>
  <c r="F9" i="75"/>
  <c r="E9" i="75"/>
  <c r="A2" i="75"/>
  <c r="A1" i="75"/>
  <c r="F22" i="75"/>
  <c r="E22" i="75"/>
  <c r="G22" i="75"/>
  <c r="B48" i="70"/>
  <c r="B49" i="70"/>
  <c r="B35" i="74"/>
  <c r="B37" i="74"/>
  <c r="B38" i="74"/>
  <c r="B47" i="70"/>
  <c r="B46" i="70"/>
  <c r="J45" i="70"/>
  <c r="I45" i="70"/>
  <c r="H45" i="70"/>
  <c r="G45" i="70"/>
  <c r="F45" i="70"/>
  <c r="B38" i="70"/>
  <c r="D42" i="70"/>
  <c r="B31" i="70"/>
  <c r="D34" i="70"/>
  <c r="J38" i="70"/>
  <c r="I38" i="70"/>
  <c r="H38" i="70"/>
  <c r="F38" i="70"/>
  <c r="J31" i="70"/>
  <c r="I31" i="70"/>
  <c r="H31" i="70"/>
  <c r="G31" i="70"/>
  <c r="F31" i="70"/>
  <c r="U46" i="71"/>
  <c r="U47" i="71"/>
  <c r="U48" i="71"/>
  <c r="Q46" i="71"/>
  <c r="Q47" i="71"/>
  <c r="Q48" i="71"/>
  <c r="R46" i="71"/>
  <c r="R47" i="71"/>
  <c r="R48" i="71"/>
  <c r="S46" i="71"/>
  <c r="S47" i="71"/>
  <c r="S48" i="71"/>
  <c r="T46" i="71"/>
  <c r="T47" i="71"/>
  <c r="T48" i="71"/>
  <c r="U14" i="69"/>
  <c r="U15" i="69"/>
  <c r="U16" i="69"/>
  <c r="U17" i="69"/>
  <c r="U10" i="69"/>
  <c r="U11" i="69"/>
  <c r="U12" i="69"/>
  <c r="U13" i="69"/>
  <c r="U21" i="69"/>
  <c r="U22" i="69"/>
  <c r="U23" i="69"/>
  <c r="U24" i="69"/>
  <c r="U29" i="69"/>
  <c r="U30" i="69"/>
  <c r="U31" i="69"/>
  <c r="U33" i="69"/>
  <c r="U34" i="69"/>
  <c r="U46" i="69"/>
  <c r="U47" i="69"/>
  <c r="U35" i="69"/>
  <c r="U36" i="69"/>
  <c r="U18" i="69"/>
  <c r="U25" i="69"/>
  <c r="U26" i="69"/>
  <c r="U37" i="69"/>
  <c r="U38" i="69"/>
  <c r="U39" i="69"/>
  <c r="T14" i="69"/>
  <c r="T15" i="69"/>
  <c r="T16" i="69"/>
  <c r="T17" i="69"/>
  <c r="T10" i="69"/>
  <c r="T11" i="69"/>
  <c r="T12" i="69"/>
  <c r="T13" i="69"/>
  <c r="T21" i="69"/>
  <c r="T22" i="69"/>
  <c r="T23" i="69"/>
  <c r="T24" i="69"/>
  <c r="T29" i="69"/>
  <c r="T30" i="69"/>
  <c r="T33" i="69"/>
  <c r="T34" i="69"/>
  <c r="T46" i="69"/>
  <c r="T47" i="69"/>
  <c r="T18" i="69"/>
  <c r="T25" i="69"/>
  <c r="T26" i="69"/>
  <c r="T37" i="69"/>
  <c r="T38" i="69"/>
  <c r="T39" i="69"/>
  <c r="S14" i="69"/>
  <c r="S15" i="69"/>
  <c r="S16" i="69"/>
  <c r="S17" i="69"/>
  <c r="S10" i="69"/>
  <c r="S11" i="69"/>
  <c r="S12" i="69"/>
  <c r="S13" i="69"/>
  <c r="S21" i="69"/>
  <c r="S22" i="69"/>
  <c r="S23" i="69"/>
  <c r="S24" i="69"/>
  <c r="S29" i="69"/>
  <c r="S30" i="69"/>
  <c r="S33" i="69"/>
  <c r="S34" i="69"/>
  <c r="S46" i="69"/>
  <c r="S47" i="69"/>
  <c r="S18" i="69"/>
  <c r="S25" i="69"/>
  <c r="S26" i="69"/>
  <c r="S37" i="69"/>
  <c r="S38" i="69"/>
  <c r="S39" i="69"/>
  <c r="R14" i="69"/>
  <c r="R15" i="69"/>
  <c r="R16" i="69"/>
  <c r="R17" i="69"/>
  <c r="R10" i="69"/>
  <c r="R11" i="69"/>
  <c r="R12" i="69"/>
  <c r="R13" i="69"/>
  <c r="R21" i="69"/>
  <c r="R22" i="69"/>
  <c r="R23" i="69"/>
  <c r="R24" i="69"/>
  <c r="R29" i="69"/>
  <c r="R30" i="69"/>
  <c r="R33" i="69"/>
  <c r="R34" i="69"/>
  <c r="R46" i="69"/>
  <c r="R47" i="69"/>
  <c r="R18" i="69"/>
  <c r="R25" i="69"/>
  <c r="R26" i="69"/>
  <c r="R37" i="69"/>
  <c r="R38" i="69"/>
  <c r="R39" i="69"/>
  <c r="Q14" i="69"/>
  <c r="Q15" i="69"/>
  <c r="Q16" i="69"/>
  <c r="Q17" i="69"/>
  <c r="Q10" i="69"/>
  <c r="Q11" i="69"/>
  <c r="Q12" i="69"/>
  <c r="Q13" i="69"/>
  <c r="Q21" i="69"/>
  <c r="Q22" i="69"/>
  <c r="Q23" i="69"/>
  <c r="Q24" i="69"/>
  <c r="Q29" i="69"/>
  <c r="Q30" i="69"/>
  <c r="Q33" i="69"/>
  <c r="Q34" i="69"/>
  <c r="Q46" i="69"/>
  <c r="Q47" i="69"/>
  <c r="Q37" i="69"/>
  <c r="Q38" i="69"/>
  <c r="Q18" i="69"/>
  <c r="Q25" i="69"/>
  <c r="Q26" i="69"/>
  <c r="Q39" i="69"/>
  <c r="A24" i="74"/>
  <c r="A23" i="74"/>
  <c r="A5" i="71"/>
  <c r="A5" i="69"/>
  <c r="C81" i="69"/>
  <c r="C81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50" i="71"/>
  <c r="C49" i="71"/>
  <c r="C50" i="69"/>
  <c r="C49" i="69"/>
  <c r="A2" i="71"/>
  <c r="A1" i="71"/>
  <c r="A2" i="69"/>
  <c r="A1" i="69"/>
  <c r="A1" i="72"/>
  <c r="A2" i="70"/>
  <c r="A1" i="70"/>
  <c r="D5" i="72"/>
  <c r="A11" i="71"/>
  <c r="A10" i="71"/>
  <c r="A12" i="71"/>
  <c r="A13" i="71"/>
  <c r="A16" i="71"/>
  <c r="A17" i="71"/>
  <c r="A18" i="71"/>
  <c r="A19" i="71"/>
  <c r="A21" i="71"/>
  <c r="A26" i="71"/>
  <c r="A29" i="71"/>
  <c r="S43" i="71"/>
  <c r="R45" i="71"/>
  <c r="S44" i="69"/>
  <c r="S43" i="69"/>
  <c r="T44" i="69"/>
  <c r="U43" i="69"/>
  <c r="Q60" i="69"/>
  <c r="B39" i="74"/>
  <c r="Q44" i="69"/>
  <c r="Q43" i="69"/>
  <c r="D39" i="70"/>
  <c r="D41" i="70"/>
  <c r="S45" i="71"/>
  <c r="T44" i="71"/>
  <c r="S44" i="71"/>
  <c r="U44" i="71"/>
  <c r="R44" i="71"/>
  <c r="U48" i="69"/>
  <c r="U43" i="71"/>
  <c r="D35" i="70"/>
  <c r="D33" i="70"/>
  <c r="D32" i="70"/>
  <c r="T45" i="71"/>
  <c r="U45" i="71"/>
  <c r="Q43" i="71"/>
  <c r="Q45" i="71"/>
  <c r="Q44" i="71"/>
  <c r="R44" i="69"/>
  <c r="U44" i="69"/>
  <c r="T32" i="69"/>
  <c r="S32" i="69"/>
  <c r="R32" i="69"/>
  <c r="Q32" i="69"/>
  <c r="U32" i="69"/>
  <c r="R43" i="71"/>
  <c r="T35" i="69"/>
  <c r="S35" i="69"/>
  <c r="R35" i="69"/>
  <c r="Q35" i="69"/>
  <c r="T43" i="71"/>
  <c r="R43" i="69"/>
  <c r="T43" i="69"/>
  <c r="T36" i="69"/>
  <c r="S36" i="69"/>
  <c r="R36" i="69"/>
  <c r="Q36" i="69"/>
  <c r="T31" i="69"/>
  <c r="S31" i="69"/>
  <c r="S48" i="69"/>
  <c r="R31" i="69"/>
  <c r="Q31" i="69"/>
  <c r="D40" i="70"/>
  <c r="Q48" i="69"/>
  <c r="T48" i="69"/>
  <c r="J40" i="70"/>
  <c r="F39" i="70"/>
  <c r="U62" i="69"/>
  <c r="Q63" i="69"/>
  <c r="Q75" i="69"/>
  <c r="F60" i="70"/>
  <c r="Q61" i="69"/>
  <c r="H39" i="70"/>
  <c r="R64" i="69"/>
  <c r="S61" i="69"/>
  <c r="T61" i="69"/>
  <c r="U64" i="69"/>
  <c r="R63" i="69"/>
  <c r="Q62" i="71"/>
  <c r="F40" i="70"/>
  <c r="J41" i="70"/>
  <c r="U62" i="71"/>
  <c r="S63" i="71"/>
  <c r="S59" i="69"/>
  <c r="Q60" i="71"/>
  <c r="T60" i="71"/>
  <c r="R59" i="71"/>
  <c r="T62" i="71"/>
  <c r="S64" i="71"/>
  <c r="R59" i="69"/>
  <c r="S59" i="71"/>
  <c r="S61" i="71"/>
  <c r="T60" i="69"/>
  <c r="I41" i="70"/>
  <c r="T63" i="71"/>
  <c r="S62" i="71"/>
  <c r="R62" i="71"/>
  <c r="Q63" i="71"/>
  <c r="Q59" i="69"/>
  <c r="U59" i="69"/>
  <c r="S60" i="71"/>
  <c r="S60" i="69"/>
  <c r="T62" i="69"/>
  <c r="Q62" i="69"/>
  <c r="T63" i="69"/>
  <c r="I40" i="70"/>
  <c r="I39" i="70"/>
  <c r="T64" i="71"/>
  <c r="Q64" i="71"/>
  <c r="U59" i="71"/>
  <c r="U74" i="71"/>
  <c r="J69" i="70"/>
  <c r="R12" i="76"/>
  <c r="U61" i="71"/>
  <c r="R61" i="71"/>
  <c r="R60" i="69"/>
  <c r="S62" i="69"/>
  <c r="Q64" i="69"/>
  <c r="R61" i="69"/>
  <c r="S63" i="69"/>
  <c r="H40" i="70"/>
  <c r="H41" i="70"/>
  <c r="G40" i="70"/>
  <c r="I31" i="75"/>
  <c r="I32" i="75"/>
  <c r="I35" i="75"/>
  <c r="R63" i="71"/>
  <c r="U63" i="71"/>
  <c r="U60" i="69"/>
  <c r="U60" i="71"/>
  <c r="R60" i="71"/>
  <c r="J34" i="70"/>
  <c r="I33" i="70"/>
  <c r="I32" i="70"/>
  <c r="I34" i="70"/>
  <c r="H33" i="70"/>
  <c r="J32" i="70"/>
  <c r="R58" i="71"/>
  <c r="Q57" i="71"/>
  <c r="U58" i="69"/>
  <c r="T57" i="69"/>
  <c r="T56" i="69"/>
  <c r="S57" i="69"/>
  <c r="S72" i="69"/>
  <c r="H57" i="70"/>
  <c r="U56" i="69"/>
  <c r="U71" i="69"/>
  <c r="J56" i="70"/>
  <c r="R57" i="69"/>
  <c r="U58" i="71"/>
  <c r="T57" i="71"/>
  <c r="Q56" i="71"/>
  <c r="H34" i="70"/>
  <c r="G33" i="70"/>
  <c r="F32" i="70"/>
  <c r="Q58" i="71"/>
  <c r="U56" i="71"/>
  <c r="T58" i="69"/>
  <c r="Q56" i="69"/>
  <c r="Q57" i="69"/>
  <c r="S56" i="69"/>
  <c r="G34" i="70"/>
  <c r="F33" i="70"/>
  <c r="U57" i="71"/>
  <c r="T56" i="71"/>
  <c r="S58" i="69"/>
  <c r="S56" i="71"/>
  <c r="R58" i="69"/>
  <c r="S58" i="71"/>
  <c r="F34" i="70"/>
  <c r="G32" i="70"/>
  <c r="U57" i="69"/>
  <c r="J33" i="70"/>
  <c r="H32" i="70"/>
  <c r="T58" i="71"/>
  <c r="S57" i="71"/>
  <c r="R56" i="71"/>
  <c r="Q58" i="69"/>
  <c r="R56" i="69"/>
  <c r="R57" i="71"/>
  <c r="Q59" i="71"/>
  <c r="Q74" i="71"/>
  <c r="F69" i="70"/>
  <c r="F12" i="76"/>
  <c r="S64" i="69"/>
  <c r="R62" i="69"/>
  <c r="G41" i="70"/>
  <c r="J39" i="70"/>
  <c r="F41" i="70"/>
  <c r="R64" i="71"/>
  <c r="U64" i="71"/>
  <c r="T59" i="69"/>
  <c r="T74" i="69"/>
  <c r="I59" i="70"/>
  <c r="T59" i="71"/>
  <c r="T74" i="71"/>
  <c r="T61" i="71"/>
  <c r="Q61" i="71"/>
  <c r="U63" i="69"/>
  <c r="T45" i="69"/>
  <c r="U45" i="69"/>
  <c r="U49" i="69"/>
  <c r="U51" i="69"/>
  <c r="U61" i="69"/>
  <c r="T64" i="69"/>
  <c r="Q45" i="69"/>
  <c r="G23" i="75"/>
  <c r="S45" i="69"/>
  <c r="S49" i="69"/>
  <c r="I23" i="75"/>
  <c r="F23" i="75"/>
  <c r="R45" i="69"/>
  <c r="E23" i="75"/>
  <c r="S49" i="71"/>
  <c r="S51" i="71"/>
  <c r="R49" i="71"/>
  <c r="R50" i="71"/>
  <c r="T49" i="69"/>
  <c r="T50" i="69"/>
  <c r="J22" i="70"/>
  <c r="F21" i="70"/>
  <c r="I22" i="70"/>
  <c r="J20" i="70"/>
  <c r="Q49" i="71"/>
  <c r="Q51" i="71"/>
  <c r="U49" i="71"/>
  <c r="U51" i="71"/>
  <c r="R48" i="69"/>
  <c r="F20" i="70"/>
  <c r="F22" i="70"/>
  <c r="I20" i="70"/>
  <c r="G20" i="70"/>
  <c r="G21" i="70"/>
  <c r="H20" i="70"/>
  <c r="J21" i="70"/>
  <c r="G22" i="70"/>
  <c r="H21" i="70"/>
  <c r="H22" i="70"/>
  <c r="I21" i="70"/>
  <c r="T49" i="71"/>
  <c r="T76" i="71"/>
  <c r="I71" i="70"/>
  <c r="Q12" i="76"/>
  <c r="S76" i="71"/>
  <c r="H71" i="70"/>
  <c r="N12" i="76"/>
  <c r="I42" i="70"/>
  <c r="S74" i="71"/>
  <c r="H69" i="70"/>
  <c r="L12" i="76"/>
  <c r="Q76" i="71"/>
  <c r="F71" i="70"/>
  <c r="H12" i="76"/>
  <c r="U73" i="69"/>
  <c r="T65" i="69"/>
  <c r="Q71" i="71"/>
  <c r="F66" i="70"/>
  <c r="R75" i="69"/>
  <c r="G60" i="70"/>
  <c r="F42" i="70"/>
  <c r="R71" i="71"/>
  <c r="G66" i="70"/>
  <c r="J35" i="70"/>
  <c r="S71" i="69"/>
  <c r="H56" i="70"/>
  <c r="U71" i="71"/>
  <c r="J66" i="70"/>
  <c r="R72" i="69"/>
  <c r="G57" i="70"/>
  <c r="T72" i="69"/>
  <c r="I57" i="70"/>
  <c r="H42" i="70"/>
  <c r="U76" i="71"/>
  <c r="J71" i="70"/>
  <c r="T12" i="76"/>
  <c r="R74" i="71"/>
  <c r="G69" i="70"/>
  <c r="I12" i="76"/>
  <c r="U74" i="69"/>
  <c r="J59" i="70"/>
  <c r="Q72" i="69"/>
  <c r="F57" i="70"/>
  <c r="S75" i="69"/>
  <c r="H60" i="70"/>
  <c r="T75" i="71"/>
  <c r="I70" i="70"/>
  <c r="P12" i="76"/>
  <c r="R71" i="69"/>
  <c r="G56" i="70"/>
  <c r="S65" i="71"/>
  <c r="S75" i="71"/>
  <c r="H70" i="70"/>
  <c r="M12" i="76"/>
  <c r="H35" i="70"/>
  <c r="T71" i="69"/>
  <c r="R73" i="71"/>
  <c r="G68" i="70"/>
  <c r="K12" i="72"/>
  <c r="Q65" i="69"/>
  <c r="I36" i="75"/>
  <c r="R72" i="71"/>
  <c r="G67" i="70"/>
  <c r="J12" i="72"/>
  <c r="S74" i="69"/>
  <c r="H59" i="70"/>
  <c r="T65" i="71"/>
  <c r="U73" i="71"/>
  <c r="J68" i="70"/>
  <c r="T12" i="72"/>
  <c r="U75" i="71"/>
  <c r="J70" i="70"/>
  <c r="S12" i="76"/>
  <c r="Q72" i="71"/>
  <c r="F67" i="70"/>
  <c r="G12" i="72"/>
  <c r="R65" i="69"/>
  <c r="Q73" i="69"/>
  <c r="F58" i="70"/>
  <c r="U72" i="69"/>
  <c r="J57" i="70"/>
  <c r="S73" i="69"/>
  <c r="Q73" i="71"/>
  <c r="F68" i="70"/>
  <c r="H12" i="72"/>
  <c r="R75" i="71"/>
  <c r="G70" i="70"/>
  <c r="J12" i="76"/>
  <c r="Q71" i="69"/>
  <c r="T73" i="71"/>
  <c r="I68" i="70"/>
  <c r="Q12" i="72"/>
  <c r="S71" i="71"/>
  <c r="R74" i="69"/>
  <c r="G59" i="70"/>
  <c r="Q76" i="69"/>
  <c r="F61" i="70"/>
  <c r="S65" i="69"/>
  <c r="Q75" i="71"/>
  <c r="F70" i="70"/>
  <c r="G12" i="76"/>
  <c r="V12" i="76"/>
  <c r="T73" i="69"/>
  <c r="I58" i="70"/>
  <c r="Q65" i="71"/>
  <c r="T72" i="71"/>
  <c r="I67" i="70"/>
  <c r="P12" i="72"/>
  <c r="S73" i="71"/>
  <c r="H68" i="70"/>
  <c r="N12" i="72"/>
  <c r="S72" i="71"/>
  <c r="H67" i="70"/>
  <c r="M12" i="72"/>
  <c r="R65" i="71"/>
  <c r="R67" i="71"/>
  <c r="U65" i="69"/>
  <c r="U76" i="69"/>
  <c r="J61" i="70"/>
  <c r="U65" i="71"/>
  <c r="U75" i="69"/>
  <c r="J60" i="70"/>
  <c r="R76" i="71"/>
  <c r="G71" i="70"/>
  <c r="K12" i="76"/>
  <c r="T71" i="71"/>
  <c r="I66" i="70"/>
  <c r="T76" i="69"/>
  <c r="I61" i="70"/>
  <c r="I69" i="70"/>
  <c r="O12" i="76"/>
  <c r="R73" i="69"/>
  <c r="G58" i="70"/>
  <c r="U72" i="71"/>
  <c r="J67" i="70"/>
  <c r="S12" i="72"/>
  <c r="R76" i="69"/>
  <c r="G61" i="70"/>
  <c r="Q74" i="69"/>
  <c r="F59" i="70"/>
  <c r="T75" i="69"/>
  <c r="I60" i="70"/>
  <c r="S76" i="69"/>
  <c r="H61" i="70"/>
  <c r="G35" i="70"/>
  <c r="Q49" i="69"/>
  <c r="Q51" i="69"/>
  <c r="J58" i="70"/>
  <c r="T67" i="69"/>
  <c r="S50" i="69"/>
  <c r="S51" i="69"/>
  <c r="I12" i="70"/>
  <c r="I35" i="70"/>
  <c r="G42" i="70"/>
  <c r="H58" i="70"/>
  <c r="G36" i="75"/>
  <c r="F56" i="70"/>
  <c r="S50" i="71"/>
  <c r="G30" i="75"/>
  <c r="I30" i="75"/>
  <c r="R51" i="71"/>
  <c r="I23" i="70"/>
  <c r="I49" i="70"/>
  <c r="Q50" i="71"/>
  <c r="G23" i="70"/>
  <c r="T51" i="69"/>
  <c r="U50" i="69"/>
  <c r="F35" i="70"/>
  <c r="H23" i="70"/>
  <c r="H49" i="70"/>
  <c r="J23" i="70"/>
  <c r="U50" i="71"/>
  <c r="I13" i="70"/>
  <c r="J12" i="70"/>
  <c r="F13" i="70"/>
  <c r="H12" i="70"/>
  <c r="J11" i="70"/>
  <c r="G13" i="70"/>
  <c r="H11" i="70"/>
  <c r="F12" i="70"/>
  <c r="R49" i="69"/>
  <c r="J13" i="70"/>
  <c r="H13" i="70"/>
  <c r="G11" i="70"/>
  <c r="F11" i="70"/>
  <c r="G12" i="70"/>
  <c r="I11" i="70"/>
  <c r="T50" i="71"/>
  <c r="T51" i="71"/>
  <c r="F23" i="70"/>
  <c r="J42" i="70"/>
  <c r="X12" i="76"/>
  <c r="F49" i="70"/>
  <c r="Z12" i="76"/>
  <c r="T77" i="69"/>
  <c r="T79" i="69"/>
  <c r="W12" i="76"/>
  <c r="I56" i="70"/>
  <c r="I62" i="70"/>
  <c r="Q50" i="69"/>
  <c r="Q67" i="69"/>
  <c r="S67" i="69"/>
  <c r="Q77" i="69"/>
  <c r="Q77" i="71"/>
  <c r="Q79" i="71"/>
  <c r="H66" i="70"/>
  <c r="S77" i="71"/>
  <c r="S79" i="71"/>
  <c r="U67" i="69"/>
  <c r="T77" i="71"/>
  <c r="T79" i="71"/>
  <c r="U77" i="71"/>
  <c r="U79" i="71"/>
  <c r="R77" i="71"/>
  <c r="R79" i="71"/>
  <c r="Q67" i="71"/>
  <c r="S67" i="71"/>
  <c r="T67" i="71"/>
  <c r="U67" i="71"/>
  <c r="G49" i="70"/>
  <c r="J62" i="70"/>
  <c r="J76" i="70"/>
  <c r="U77" i="69"/>
  <c r="U79" i="69"/>
  <c r="F62" i="70"/>
  <c r="H62" i="70"/>
  <c r="H76" i="70"/>
  <c r="S77" i="69"/>
  <c r="S79" i="69"/>
  <c r="R77" i="69"/>
  <c r="G62" i="70"/>
  <c r="G78" i="70"/>
  <c r="Y12" i="76"/>
  <c r="I72" i="70"/>
  <c r="O12" i="72"/>
  <c r="Y12" i="72"/>
  <c r="G72" i="70"/>
  <c r="I12" i="72"/>
  <c r="W12" i="72"/>
  <c r="F72" i="70"/>
  <c r="F12" i="72"/>
  <c r="V12" i="72"/>
  <c r="J72" i="70"/>
  <c r="J77" i="70"/>
  <c r="R12" i="72"/>
  <c r="Z12" i="72"/>
  <c r="J49" i="70"/>
  <c r="H47" i="70"/>
  <c r="G47" i="70"/>
  <c r="F47" i="70"/>
  <c r="I14" i="70"/>
  <c r="I48" i="70"/>
  <c r="W51" i="71"/>
  <c r="W3" i="71"/>
  <c r="E81" i="71"/>
  <c r="J47" i="70"/>
  <c r="I47" i="70"/>
  <c r="F14" i="70"/>
  <c r="F48" i="70"/>
  <c r="H14" i="70"/>
  <c r="H48" i="70"/>
  <c r="G14" i="70"/>
  <c r="G48" i="70"/>
  <c r="R51" i="69"/>
  <c r="W51" i="69"/>
  <c r="W3" i="69"/>
  <c r="R50" i="69"/>
  <c r="J14" i="70"/>
  <c r="J48" i="70"/>
  <c r="F76" i="70"/>
  <c r="Q79" i="69"/>
  <c r="AB12" i="76"/>
  <c r="I76" i="70"/>
  <c r="I78" i="70"/>
  <c r="H72" i="70"/>
  <c r="L12" i="72"/>
  <c r="X12" i="72"/>
  <c r="AB12" i="72"/>
  <c r="W79" i="71"/>
  <c r="J78" i="70"/>
  <c r="F78" i="70"/>
  <c r="E81" i="69"/>
  <c r="R67" i="69"/>
  <c r="H78" i="70"/>
  <c r="D6" i="76"/>
  <c r="R79" i="69"/>
  <c r="W79" i="69"/>
  <c r="G76" i="70"/>
  <c r="G77" i="70"/>
  <c r="G79" i="70"/>
  <c r="F77" i="70"/>
  <c r="F79" i="70"/>
  <c r="J79" i="70"/>
  <c r="I77" i="70"/>
  <c r="I79" i="70"/>
  <c r="D6" i="72"/>
  <c r="D7" i="70"/>
  <c r="J46" i="70"/>
  <c r="I46" i="70"/>
  <c r="F46" i="70"/>
  <c r="G46" i="70"/>
  <c r="H46" i="70"/>
  <c r="H77" i="70"/>
  <c r="H79" i="70"/>
  <c r="F25" i="70"/>
  <c r="F16" i="70"/>
</calcChain>
</file>

<file path=xl/sharedStrings.xml><?xml version="1.0" encoding="utf-8"?>
<sst xmlns="http://schemas.openxmlformats.org/spreadsheetml/2006/main" count="547" uniqueCount="113">
  <si>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</si>
  <si>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</si>
  <si>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</si>
  <si>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</si>
  <si>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</si>
  <si>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</si>
  <si>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</si>
  <si>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</si>
  <si>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</si>
  <si>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</si>
  <si>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</si>
  <si>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</si>
  <si>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</si>
  <si>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</si>
  <si>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</si>
  <si>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</si>
  <si>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</si>
  <si>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</si>
  <si>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</si>
  <si>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</si>
  <si>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</si>
  <si>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</si>
  <si>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</si>
  <si>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</si>
  <si>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</si>
  <si>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</si>
  <si>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</si>
  <si>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</si>
  <si>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</si>
  <si>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</si>
  <si>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</si>
  <si>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</si>
  <si>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</si>
  <si>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</si>
  <si>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</si>
  <si>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</si>
  <si>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</si>
  <si>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</si>
  <si>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</si>
  <si>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</si>
  <si>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</si>
  <si>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</si>
  <si>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</si>
  <si>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</si>
  <si>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</si>
  <si>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</si>
  <si>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</si>
  <si>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</si>
  <si>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</si>
  <si>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UE</t>
  </si>
  <si>
    <t>Option</t>
  </si>
  <si>
    <t>Hours</t>
  </si>
  <si>
    <t>Each</t>
  </si>
  <si>
    <t>All</t>
  </si>
  <si>
    <t>NPV</t>
  </si>
  <si>
    <t>Summary split</t>
  </si>
  <si>
    <t>Checks</t>
  </si>
  <si>
    <t>VPN &amp; UE</t>
  </si>
  <si>
    <t>Telephony</t>
  </si>
  <si>
    <t>Common telephony solution (corporate + contact centre) - CISCO IP upgrades</t>
  </si>
  <si>
    <t>Control room telephony upgrade - BT telephony platform</t>
  </si>
  <si>
    <t>Common telephony solution (corporate + contact centre) - CISCO maintain currency</t>
  </si>
  <si>
    <t>Omni-channel uplift</t>
  </si>
  <si>
    <t>Upgrade to interactive voice response (IVR) interface</t>
  </si>
  <si>
    <t>Customer numbers split</t>
  </si>
  <si>
    <t>Powercor</t>
  </si>
  <si>
    <t>Citipower</t>
  </si>
  <si>
    <t>United Energy</t>
  </si>
  <si>
    <t>Customer time value of money and benefits</t>
  </si>
  <si>
    <t>Average customers 2021 - 2026</t>
  </si>
  <si>
    <t>Residential customers</t>
  </si>
  <si>
    <t>Business and Commercial customers</t>
  </si>
  <si>
    <t>Total customers</t>
  </si>
  <si>
    <t>ave #</t>
  </si>
  <si>
    <t>CitiPower</t>
  </si>
  <si>
    <t>Value of time for average residential customer</t>
  </si>
  <si>
    <t>Average weekly earnings, Victoria, ABS, Nov 2018</t>
  </si>
  <si>
    <t>Average wage per minute</t>
  </si>
  <si>
    <t>Value of one minute of one customer's time</t>
  </si>
  <si>
    <t>$'2018</t>
  </si>
  <si>
    <t>$'2019</t>
  </si>
  <si>
    <t>Value of time for average commercial customer</t>
  </si>
  <si>
    <t>Income from sales of goods and services, ABS, Victoria, Mar 2019</t>
  </si>
  <si>
    <t>Number of businesses in Victoria, 2017-18, ABS</t>
  </si>
  <si>
    <t>Average income per business</t>
  </si>
  <si>
    <t>Value of one mintue of time for all business customers</t>
  </si>
  <si>
    <t>https://www.abs.gov.au/ausstats/abs@.nsf/mf/6302.0?opendocument&amp;ref=HPKI</t>
  </si>
  <si>
    <t>Source</t>
  </si>
  <si>
    <t>number</t>
  </si>
  <si>
    <t>https://www.inc.com/jim-belosic/how-to-calculate-the-value-of-your-and-your-employees-time.html</t>
  </si>
  <si>
    <t>https://www.abs.gov.au/AUSSTATS/abs@.nsf/DetailsPage/5676.0Mar%202019?OpenDocument</t>
  </si>
  <si>
    <t>https://www.abs.gov.au/AUSSTATS/abs@.nsf/DetailsPage/8165.0June%202014%20to%20June%202018?OpenDocument</t>
  </si>
  <si>
    <t>Average value of one minute of time for the average customer</t>
  </si>
  <si>
    <t>$'2021</t>
  </si>
  <si>
    <t>Omni-channel and IVR upgrade</t>
  </si>
  <si>
    <t>Total cost per customer</t>
  </si>
  <si>
    <t>Average number of minutes saved per customer</t>
  </si>
  <si>
    <t>minutes</t>
  </si>
  <si>
    <t>Total cost (refer to Option 2 2022/23)</t>
  </si>
  <si>
    <t>Business portion of Total cost (refer to Option 2 2022/23)</t>
  </si>
  <si>
    <t>Summary split by company</t>
  </si>
  <si>
    <t>Total Expenditure ($ 2020/21)</t>
  </si>
  <si>
    <t>UE general enquiries and connections line</t>
  </si>
  <si>
    <t>Dollars</t>
  </si>
  <si>
    <t>CPI</t>
  </si>
  <si>
    <t>Annual CPI - 12 months unlagged</t>
  </si>
  <si>
    <t>Maintain currency and integrate United Energy</t>
  </si>
  <si>
    <t>Maintain currency, integrate United Energy and enhance customer experience</t>
  </si>
  <si>
    <t>Mid CY</t>
  </si>
  <si>
    <t>End FY</t>
  </si>
  <si>
    <t>Costs specific to VPN</t>
  </si>
  <si>
    <t>Costs specific to UE</t>
  </si>
  <si>
    <t>Costs for both VPN and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</si>
</sst>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%"/>
    <numFmt numFmtId="175" formatCode="_-* #,##0_-;\-* #,##0_-;_-* &quot;-&quot;??_-;_-@_-"/>
    <numFmt numFmtId="176" formatCode="_-&quot;$&quot;* #,##0_-;\-&quot;$&quot;* #,##0_-;_-&quot;$&quot;* &quot;-&quot;??_-;_-@_-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color rgb="FF0033CC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ashed">
        <color auto="1"/>
      </bottom>
      <diagonal/>
    </border>
  </borders>
  <cellStyleXfs count="30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3" fillId="0" borderId="0" applyNumberFormat="0" applyFill="0" applyBorder="0" applyAlignment="0" applyProtection="0"/>
  </cellStyleXfs>
  <cellXfs count="171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2" fillId="0" borderId="9" xfId="0" applyFont="1" applyBorder="1"/>
    <xf numFmtId="0" fontId="48" fillId="0" borderId="9" xfId="0" applyFont="1" applyBorder="1"/>
    <xf numFmtId="3" fontId="12" fillId="0" borderId="9" xfId="0" applyNumberFormat="1" applyFont="1" applyBorder="1"/>
    <xf numFmtId="167" fontId="12" fillId="0" borderId="9" xfId="0" applyNumberFormat="1" applyFont="1" applyFill="1" applyBorder="1" applyAlignment="1">
      <alignment horizontal="right" vertical="top"/>
    </xf>
    <xf numFmtId="0" fontId="49" fillId="0" borderId="5" xfId="0" applyFont="1" applyBorder="1"/>
    <xf numFmtId="3" fontId="13" fillId="0" borderId="5" xfId="0" applyNumberFormat="1" applyFont="1" applyBorder="1"/>
    <xf numFmtId="0" fontId="50" fillId="0" borderId="0" xfId="0" applyFont="1"/>
    <xf numFmtId="167" fontId="50" fillId="0" borderId="0" xfId="0" applyNumberFormat="1" applyFont="1"/>
    <xf numFmtId="8" fontId="12" fillId="0" borderId="0" xfId="0" applyNumberFormat="1" applyFont="1"/>
    <xf numFmtId="0" fontId="51" fillId="2" borderId="10" xfId="0" applyFont="1" applyFill="1" applyBorder="1"/>
    <xf numFmtId="0" fontId="51" fillId="2" borderId="7" xfId="0" applyFont="1" applyFill="1" applyBorder="1"/>
    <xf numFmtId="175" fontId="52" fillId="2" borderId="0" xfId="27" applyNumberFormat="1" applyFont="1" applyFill="1"/>
    <xf numFmtId="175" fontId="52" fillId="0" borderId="0" xfId="27" applyNumberFormat="1" applyFont="1" applyFill="1"/>
    <xf numFmtId="174" fontId="52" fillId="0" borderId="0" xfId="0" applyNumberFormat="1" applyFont="1" applyFill="1"/>
    <xf numFmtId="9" fontId="52" fillId="0" borderId="0" xfId="26" applyFont="1" applyFill="1"/>
    <xf numFmtId="8" fontId="12" fillId="0" borderId="3" xfId="0" applyNumberFormat="1" applyFont="1" applyBorder="1"/>
    <xf numFmtId="167" fontId="12" fillId="0" borderId="0" xfId="0" applyNumberFormat="1" applyFont="1"/>
    <xf numFmtId="0" fontId="50" fillId="0" borderId="11" xfId="0" applyFont="1" applyBorder="1"/>
    <xf numFmtId="167" fontId="50" fillId="0" borderId="11" xfId="0" applyNumberFormat="1" applyFont="1" applyBorder="1"/>
    <xf numFmtId="0" fontId="13" fillId="0" borderId="0" xfId="0" applyFont="1"/>
    <xf numFmtId="170" fontId="12" fillId="0" borderId="0" xfId="0" applyNumberFormat="1" applyFont="1"/>
    <xf numFmtId="44" fontId="12" fillId="0" borderId="0" xfId="28" applyFont="1"/>
    <xf numFmtId="0" fontId="53" fillId="0" borderId="0" xfId="29" applyFill="1"/>
    <xf numFmtId="176" fontId="45" fillId="2" borderId="1" xfId="28" applyNumberFormat="1" applyFont="1" applyFill="1" applyBorder="1" applyAlignment="1">
      <alignment horizontal="right" vertical="top"/>
    </xf>
    <xf numFmtId="176" fontId="12" fillId="0" borderId="0" xfId="28" applyNumberFormat="1" applyFont="1"/>
    <xf numFmtId="44" fontId="12" fillId="0" borderId="0" xfId="0" applyNumberFormat="1" applyFont="1"/>
    <xf numFmtId="0" fontId="13" fillId="0" borderId="0" xfId="0" applyFont="1" applyAlignment="1">
      <alignment horizontal="center"/>
    </xf>
    <xf numFmtId="6" fontId="12" fillId="0" borderId="0" xfId="0" applyNumberFormat="1" applyFont="1"/>
    <xf numFmtId="175" fontId="12" fillId="0" borderId="0" xfId="27" applyNumberFormat="1" applyFont="1"/>
    <xf numFmtId="166" fontId="13" fillId="0" borderId="0" xfId="0" applyNumberFormat="1" applyFont="1"/>
    <xf numFmtId="0" fontId="54" fillId="0" borderId="2" xfId="0" applyFont="1" applyBorder="1"/>
    <xf numFmtId="0" fontId="54" fillId="0" borderId="0" xfId="0" applyFont="1" applyBorder="1"/>
    <xf numFmtId="6" fontId="12" fillId="0" borderId="0" xfId="0" applyNumberFormat="1" applyFont="1" applyFill="1" applyBorder="1" applyAlignment="1">
      <alignment horizontal="right" vertical="top"/>
    </xf>
    <xf numFmtId="169" fontId="51" fillId="2" borderId="1" xfId="0" applyNumberFormat="1" applyFont="1" applyFill="1" applyBorder="1" applyAlignment="1">
      <alignment horizontal="left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9" xfId="0" applyFont="1" applyBorder="1" applyAlignment="1">
      <alignment horizontal="left"/>
    </xf>
    <xf numFmtId="175" fontId="52" fillId="2" borderId="9" xfId="27" applyNumberFormat="1" applyFont="1" applyFill="1" applyBorder="1"/>
    <xf numFmtId="0" fontId="12" fillId="0" borderId="0" xfId="0" applyFont="1" applyFill="1" applyBorder="1" applyAlignment="1">
      <alignment horizontal="left"/>
    </xf>
    <xf numFmtId="174" fontId="52" fillId="0" borderId="9" xfId="0" applyNumberFormat="1" applyFont="1" applyFill="1" applyBorder="1"/>
  </cellXfs>
  <cellStyles count="30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yperlink" xfId="29" builtinId="8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3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00FF"/>
      <color rgb="FFEBF2F9"/>
      <color rgb="FFE5EEF7"/>
      <color rgb="FFD6E5F2"/>
      <color rgb="FF0000FF"/>
      <color rgb="FFFF6600"/>
      <color rgb="FF0033CC"/>
      <color rgb="FFFFFFCC"/>
      <color rgb="FFFF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Telephony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49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49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INDEX(Summary!$F$56:$J$71,MATCH($D$5&amp;F$11&amp;$E$9,Summary!$D$56:$D$71,0), MATCH(Output_UE!F$10, Summary!$F$10:$J$10,0))/1000</f>
        <v>304.65825391682773</v>
      </c>
      <c r="G12" s="78">
        <f>INDEX(Summary!$F$56:$J$71,MATCH($D$5&amp;G$11&amp;$E$9,Summary!$D$56:$D$71,0), MATCH(Output_UE!G$10, Summary!$F$10:$J$10,0))/1000</f>
        <v>1051.9591484151713</v>
      </c>
      <c r="H12" s="78">
        <f>INDEX(Summary!$F$56:$J$71,MATCH($D$5&amp;H$11&amp;$E$9,Summary!$D$56:$D$71,0), MATCH(Output_UE!H$10, Summary!$F$10:$J$10,0))/1000</f>
        <v>1653.0786617952692</v>
      </c>
      <c r="I12" s="78">
        <f>INDEX(Summary!$F$56:$J$71,MATCH($D$5&amp;I$11&amp;$E$9,Summary!$D$56:$D$71,0), MATCH(Output_UE!I$10, Summary!$F$10:$J$10,0))/1000</f>
        <v>58.396630675396366</v>
      </c>
      <c r="J12" s="78">
        <f>INDEX(Summary!$F$56:$J$71,MATCH($D$5&amp;J$11&amp;$E$9,Summary!$D$56:$D$71,0), MATCH(Output_UE!J$10, Summary!$F$10:$J$10,0))/1000</f>
        <v>204.38820736388726</v>
      </c>
      <c r="K12" s="78">
        <f>INDEX(Summary!$F$56:$J$71,MATCH($D$5&amp;K$11&amp;$E$9,Summary!$D$56:$D$71,0), MATCH(Output_UE!K$10, Summary!$F$10:$J$10,0))/1000</f>
        <v>321.18146871468002</v>
      </c>
      <c r="L12" s="78">
        <f>INDEX(Summary!$F$56:$J$71,MATCH($D$5&amp;L$11&amp;$E$9,Summary!$D$56:$D$71,0), MATCH(Output_UE!L$10, Summary!$F$10:$J$10,0))/1000</f>
        <v>38.931087116930904</v>
      </c>
      <c r="M12" s="78">
        <f>INDEX(Summary!$F$56:$J$71,MATCH($D$5&amp;M$11&amp;$E$9,Summary!$D$56:$D$71,0), MATCH(Output_UE!M$10, Summary!$F$10:$J$10,0))/1000</f>
        <v>136.25880490925817</v>
      </c>
      <c r="N12" s="78">
        <f>INDEX(Summary!$F$56:$J$71,MATCH($D$5&amp;N$11&amp;$E$9,Summary!$D$56:$D$71,0), MATCH(Output_UE!N$10, Summary!$F$10:$J$10,0))/1000</f>
        <v>408.77641472777452</v>
      </c>
      <c r="O12" s="78">
        <f>INDEX(Summary!$F$56:$J$71,MATCH($D$5&amp;O$11&amp;$E$9,Summary!$D$56:$D$71,0), MATCH(Output_UE!O$10, Summary!$F$10:$J$10,0))/1000</f>
        <v>0</v>
      </c>
      <c r="P12" s="78">
        <f>INDEX(Summary!$F$56:$J$71,MATCH($D$5&amp;P$11&amp;$E$9,Summary!$D$56:$D$71,0), MATCH(Output_UE!P$10, Summary!$F$10:$J$10,0))/1000</f>
        <v>0</v>
      </c>
      <c r="Q12" s="78">
        <f>INDEX(Summary!$F$56:$J$71,MATCH($D$5&amp;Q$11&amp;$E$9,Summary!$D$56:$D$71,0), MATCH(Output_UE!Q$10, Summary!$F$10:$J$10,0))/1000</f>
        <v>0</v>
      </c>
      <c r="R12" s="78">
        <f>INDEX(Summary!$F$56:$J$71,MATCH($D$5&amp;R$11&amp;$E$9,Summary!$D$56:$D$71,0), MATCH(Output_UE!R$10, Summary!$F$10:$J$10,0))/1000</f>
        <v>0</v>
      </c>
      <c r="S12" s="78">
        <f>INDEX(Summary!$F$56:$J$71,MATCH($D$5&amp;S$11&amp;$E$9,Summary!$D$56:$D$71,0), MATCH(Output_UE!S$10, Summary!$F$10:$J$10,0))/1000</f>
        <v>0</v>
      </c>
      <c r="T12" s="78">
        <f>INDEX(Summary!$F$56:$J$71,MATCH($D$5&amp;T$11&amp;$E$9,Summary!$D$56:$D$71,0), MATCH(Output_UE!T$10, Summary!$F$10:$J$10,0))/1000</f>
        <v>194.6554355846545</v>
      </c>
      <c r="U12" s="67"/>
      <c r="V12" s="78">
        <f>SUMIF($F$10:$T$10,V$10,$F12:$T12)</f>
        <v>3009.6960641272681</v>
      </c>
      <c r="W12" s="78">
        <f>SUMIF($F$10:$T$10,W$10,$F12:$T12)</f>
        <v>583.96630675396364</v>
      </c>
      <c r="X12" s="78">
        <f>SUMIF($F$10:$T$10,X$10,$F12:$T12)</f>
        <v>583.96630675396364</v>
      </c>
      <c r="Y12" s="78">
        <f>SUMIF($F$10:$T$10,Y$10,$F12:$T12)</f>
        <v>0</v>
      </c>
      <c r="Z12" s="78">
        <f>SUMIF($F$10:$T$10,Z$10,$F12:$T12)</f>
        <v>194.6554355846545</v>
      </c>
      <c r="AA12" s="67"/>
      <c r="AB12" s="78">
        <f>SUM(V12:Z12)</f>
        <v>4372.28411321985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2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Telephony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40</v>
      </c>
      <c r="C6" s="67"/>
      <c r="D6" s="117" t="b">
        <f>AND('Option 1'!W3, 'Option 2'!W3)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0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INDEX(Summary!$F$56:$J$71,MATCH($D$5&amp;F$11&amp;$E$9,Summary!$D$56:$D$71,0), MATCH(Output_VPN!F$10, Summary!$F$10:$J$10,0))/1000</f>
        <v>334.86616994231758</v>
      </c>
      <c r="G12" s="78">
        <f>INDEX(Summary!$F$56:$J$71,MATCH($D$5&amp;G$11&amp;$E$9,Summary!$D$56:$D$71,0), MATCH(Output_VPN!G$10, Summary!$F$10:$J$10,0))/1000</f>
        <v>1172.0315947981117</v>
      </c>
      <c r="H12" s="78">
        <f>INDEX(Summary!$F$56:$J$71,MATCH($D$5&amp;H$11&amp;$E$9,Summary!$D$56:$D$71,0), MATCH(Output_VPN!H$10, Summary!$F$10:$J$10,0))/1000</f>
        <v>1841.7639346827468</v>
      </c>
      <c r="I12" s="78">
        <f>INDEX(Summary!$F$56:$J$71,MATCH($D$5&amp;I$11&amp;$E$9,Summary!$D$56:$D$71,0), MATCH(Output_VPN!I$10, Summary!$F$10:$J$10,0))/1000</f>
        <v>100.4598509826953</v>
      </c>
      <c r="J12" s="78">
        <f>INDEX(Summary!$F$56:$J$71,MATCH($D$5&amp;J$11&amp;$E$9,Summary!$D$56:$D$71,0), MATCH(Output_VPN!J$10, Summary!$F$10:$J$10,0))/1000</f>
        <v>351.60947843943342</v>
      </c>
      <c r="K12" s="78">
        <f>INDEX(Summary!$F$56:$J$71,MATCH($D$5&amp;K$11&amp;$E$9,Summary!$D$56:$D$71,0), MATCH(Output_VPN!K$10, Summary!$F$10:$J$10,0))/1000</f>
        <v>552.52918040482405</v>
      </c>
      <c r="L12" s="78">
        <f>INDEX(Summary!$F$56:$J$71,MATCH($D$5&amp;L$11&amp;$E$9,Summary!$D$56:$D$71,0), MATCH(Output_VPN!L$10, Summary!$F$10:$J$10,0))/1000</f>
        <v>66.973233988463519</v>
      </c>
      <c r="M12" s="78">
        <f>INDEX(Summary!$F$56:$J$71,MATCH($D$5&amp;M$11&amp;$E$9,Summary!$D$56:$D$71,0), MATCH(Output_VPN!M$10, Summary!$F$10:$J$10,0))/1000</f>
        <v>234.40631895962233</v>
      </c>
      <c r="N12" s="78">
        <f>INDEX(Summary!$F$56:$J$71,MATCH($D$5&amp;N$11&amp;$E$9,Summary!$D$56:$D$71,0), MATCH(Output_VPN!N$10, Summary!$F$10:$J$10,0))/1000</f>
        <v>703.21895687886683</v>
      </c>
      <c r="O12" s="78">
        <f>INDEX(Summary!$F$56:$J$71,MATCH($D$5&amp;O$11&amp;$E$9,Summary!$D$56:$D$71,0), MATCH(Output_VPN!O$10, Summary!$F$10:$J$10,0))/1000</f>
        <v>0</v>
      </c>
      <c r="P12" s="78">
        <f>INDEX(Summary!$F$56:$J$71,MATCH($D$5&amp;P$11&amp;$E$9,Summary!$D$56:$D$71,0), MATCH(Output_VPN!P$10, Summary!$F$10:$J$10,0))/1000</f>
        <v>0</v>
      </c>
      <c r="Q12" s="78">
        <f>INDEX(Summary!$F$56:$J$71,MATCH($D$5&amp;Q$11&amp;$E$9,Summary!$D$56:$D$71,0), MATCH(Output_VPN!Q$10, Summary!$F$10:$J$10,0))/1000</f>
        <v>0</v>
      </c>
      <c r="R12" s="78">
        <f>INDEX(Summary!$F$56:$J$71,MATCH($D$5&amp;R$11&amp;$E$9,Summary!$D$56:$D$71,0), MATCH(Output_VPN!R$10, Summary!$F$10:$J$10,0))/1000</f>
        <v>0</v>
      </c>
      <c r="S12" s="78">
        <f>INDEX(Summary!$F$56:$J$71,MATCH($D$5&amp;S$11&amp;$E$9,Summary!$D$56:$D$71,0), MATCH(Output_VPN!S$10, Summary!$F$10:$J$10,0))/1000</f>
        <v>0</v>
      </c>
      <c r="T12" s="78">
        <f>INDEX(Summary!$F$56:$J$71,MATCH($D$5&amp;T$11&amp;$E$9,Summary!$D$56:$D$71,0), MATCH(Output_VPN!T$10, Summary!$F$10:$J$10,0))/1000</f>
        <v>334.86616994231758</v>
      </c>
      <c r="U12" s="67"/>
      <c r="V12" s="78">
        <f>SUMIF($F$10:$T$10,V$10,$F12:$T12)</f>
        <v>3348.6616994231763</v>
      </c>
      <c r="W12" s="78">
        <f>SUMIF($F$10:$T$10,W$10,$F12:$T12)</f>
        <v>1004.5985098269527</v>
      </c>
      <c r="X12" s="78">
        <f>SUMIF($F$10:$T$10,X$10,$F12:$T12)</f>
        <v>1004.5985098269527</v>
      </c>
      <c r="Y12" s="78">
        <f>SUMIF($F$10:$T$10,Y$10,$F12:$T12)</f>
        <v>0</v>
      </c>
      <c r="Z12" s="78">
        <f>SUMIF($F$10:$T$10,Z$10,$F12:$T12)</f>
        <v>334.86616994231758</v>
      </c>
      <c r="AA12" s="67"/>
      <c r="AB12" s="78">
        <f>SUM(V12:Z12)</f>
        <v>5692.7248890193996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1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79"/>
  <sheetViews>
    <sheetView showGridLines="0" zoomScale="85" zoomScaleNormal="85" workbookViewId="0">
      <selection activeCell="C22" sqref="C22"/>
    </sheetView>
  </sheetViews>
  <sheetFormatPr defaultColWidth="9.140625" defaultRowHeight="12.75" x14ac:dyDescent="0.2"/>
  <cols>
    <col min="1" max="1" width="4.28515625" style="1" customWidth="1"/>
    <col min="2" max="2" width="22" style="1" bestFit="1" customWidth="1"/>
    <col min="3" max="3" width="15.28515625" style="1" customWidth="1"/>
    <col min="4" max="4" width="13.85546875" style="100" customWidth="1"/>
    <col min="5" max="5" width="4.85546875" style="1" customWidth="1"/>
    <col min="6" max="10" width="12.42578125" style="1" customWidth="1"/>
    <col min="11" max="16384" width="9.140625" style="1"/>
  </cols>
  <sheetData>
    <row r="1" spans="1:1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21</v>
      </c>
      <c r="E6" s="3"/>
    </row>
    <row r="7" spans="1:16" ht="12.75" customHeight="1" x14ac:dyDescent="0.2">
      <c r="B7" s="118" t="s">
        <v>40</v>
      </c>
      <c r="D7" s="117" t="b">
        <f>Output_VPN!D6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0" t="str">
        <f>B10&amp;C11</f>
        <v>Option 1Labour</v>
      </c>
      <c r="E11" s="3"/>
      <c r="F11" s="9">
        <f>SUMPRODUCT((years=Summary!F$10)*(Option1_categories=Summary!$C11)*(Option1_costs))*Conv_2021</f>
        <v>639524.42385914538</v>
      </c>
      <c r="G11" s="9">
        <f>SUMPRODUCT((years=Summary!G$10)*(Option1_categories=Summary!$C11)*(Option1_costs))*Conv_2021</f>
        <v>0</v>
      </c>
      <c r="H11" s="9">
        <f>SUMPRODUCT((years=Summary!H$10)*(Option1_categories=Summary!$C11)*(Option1_costs))*Conv_2021</f>
        <v>105904.32110539443</v>
      </c>
      <c r="I11" s="9">
        <f>SUMPRODUCT((years=Summary!I$10)*(Option1_categories=Summary!$C11)*(Option1_costs))*Conv_2021</f>
        <v>0</v>
      </c>
      <c r="J11" s="9">
        <f>SUMPRODUCT((years=Summary!J$10)*(Option1_categories=Summary!$C11)*(Option1_costs))*Conv_2021</f>
        <v>0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0" t="str">
        <f>B10&amp;C12</f>
        <v>Option 1Materials</v>
      </c>
      <c r="E12" s="3"/>
      <c r="F12" s="9">
        <f>SUMPRODUCT((years=Summary!F$10)*(Option1_categories=Summary!$C12)*(Option1_costs))*Conv_2021</f>
        <v>2223990.7432132829</v>
      </c>
      <c r="G12" s="9">
        <f>SUMPRODUCT((years=Summary!G$10)*(Option1_categories=Summary!$C12)*(Option1_costs))*Conv_2021</f>
        <v>0</v>
      </c>
      <c r="H12" s="9">
        <f>SUMPRODUCT((years=Summary!H$10)*(Option1_categories=Summary!$C12)*(Option1_costs))*Conv_2021</f>
        <v>370665.1238688805</v>
      </c>
      <c r="I12" s="9">
        <f>SUMPRODUCT((years=Summary!I$10)*(Option1_categories=Summary!$C12)*(Option1_costs))*Conv_2021</f>
        <v>0</v>
      </c>
      <c r="J12" s="9">
        <f>SUMPRODUCT((years=Summary!J$10)*(Option1_categories=Summary!$C12)*(Option1_costs))*Conv_2021</f>
        <v>0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0" t="str">
        <f>B10&amp;C13</f>
        <v>Option 1Contracts</v>
      </c>
      <c r="F13" s="9">
        <f>SUMPRODUCT((years=Summary!F$10)*(Option1_categories=Summary!$C13)*(Option1_costs))*Conv_2021</f>
        <v>3494842.5964780161</v>
      </c>
      <c r="G13" s="9">
        <f>SUMPRODUCT((years=Summary!G$10)*(Option1_categories=Summary!$C13)*(Option1_costs))*Conv_2021</f>
        <v>0</v>
      </c>
      <c r="H13" s="9">
        <f>SUMPRODUCT((years=Summary!H$10)*(Option1_categories=Summary!$C13)*(Option1_costs))*Conv_2021</f>
        <v>1111995.3716066414</v>
      </c>
      <c r="I13" s="9">
        <f>SUMPRODUCT((years=Summary!I$10)*(Option1_categories=Summary!$C13)*(Option1_costs))*Conv_2021</f>
        <v>0</v>
      </c>
      <c r="J13" s="9">
        <f>SUMPRODUCT((years=Summary!J$10)*(Option1_categories=Summary!$C13)*(Option1_costs))*Conv_2021</f>
        <v>529521.6055269721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6358357.7635504445</v>
      </c>
      <c r="G14" s="26">
        <f t="shared" si="0"/>
        <v>0</v>
      </c>
      <c r="H14" s="26">
        <f t="shared" si="0"/>
        <v>1588564.8165809163</v>
      </c>
      <c r="I14" s="26">
        <f t="shared" si="0"/>
        <v>0</v>
      </c>
      <c r="J14" s="26">
        <f t="shared" si="0"/>
        <v>529521.6055269721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4" t="s">
        <v>54</v>
      </c>
      <c r="D16" s="26"/>
      <c r="E16" s="26"/>
      <c r="F16" s="26">
        <f>NPV(Assumptions!$B$6,Summary!F14:J14)</f>
        <v>8114935.7275070315</v>
      </c>
      <c r="G16" s="81"/>
      <c r="H16" s="81"/>
      <c r="I16" s="81"/>
      <c r="J16" s="81"/>
    </row>
    <row r="17" spans="1:10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1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1:10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1:10" ht="12.75" customHeight="1" x14ac:dyDescent="0.2">
      <c r="C20" s="1" t="s">
        <v>2</v>
      </c>
      <c r="D20" s="120" t="str">
        <f>B19&amp;C20</f>
        <v>Option 2Labour</v>
      </c>
      <c r="E20" s="3"/>
      <c r="F20" s="9">
        <f>SUMPRODUCT((years=Summary!F$10)*(Option2_categories=Summary!$C20)*(Option2_costs))*Conv_2021</f>
        <v>639524.42385914538</v>
      </c>
      <c r="G20" s="9">
        <f>SUMPRODUCT((years=Summary!G$10)*(Option2_categories=Summary!$C20)*(Option2_costs))*Conv_2021</f>
        <v>158856.48165809165</v>
      </c>
      <c r="H20" s="9">
        <f>SUMPRODUCT((years=Summary!H$10)*(Option2_categories=Summary!$C20)*(Option2_costs))*Conv_2021</f>
        <v>105904.32110539443</v>
      </c>
      <c r="I20" s="9">
        <f>SUMPRODUCT((years=Summary!I$10)*(Option2_categories=Summary!$C20)*(Option2_costs))*Conv_2021</f>
        <v>0</v>
      </c>
      <c r="J20" s="9">
        <f>SUMPRODUCT((years=Summary!J$10)*(Option2_categories=Summary!$C20)*(Option2_costs))*Conv_2021</f>
        <v>0</v>
      </c>
    </row>
    <row r="21" spans="1:10" x14ac:dyDescent="0.2">
      <c r="C21" s="1" t="s">
        <v>1</v>
      </c>
      <c r="D21" s="120" t="str">
        <f>B19&amp;C21</f>
        <v>Option 2Materials</v>
      </c>
      <c r="E21" s="3"/>
      <c r="F21" s="9">
        <f>SUMPRODUCT((years=Summary!F$10)*(Option2_categories=Summary!$C21)*(Option2_costs))*Conv_2021</f>
        <v>2223990.7432132829</v>
      </c>
      <c r="G21" s="9">
        <f>SUMPRODUCT((years=Summary!G$10)*(Option2_categories=Summary!$C21)*(Option2_costs))*Conv_2021</f>
        <v>555997.68580332072</v>
      </c>
      <c r="H21" s="9">
        <f>SUMPRODUCT((years=Summary!H$10)*(Option2_categories=Summary!$C21)*(Option2_costs))*Conv_2021</f>
        <v>370665.1238688805</v>
      </c>
      <c r="I21" s="9">
        <f>SUMPRODUCT((years=Summary!I$10)*(Option2_categories=Summary!$C21)*(Option2_costs))*Conv_2021</f>
        <v>0</v>
      </c>
      <c r="J21" s="9">
        <f>SUMPRODUCT((years=Summary!J$10)*(Option2_categories=Summary!$C21)*(Option2_costs))*Conv_2021</f>
        <v>0</v>
      </c>
    </row>
    <row r="22" spans="1:10" x14ac:dyDescent="0.2">
      <c r="C22" s="1" t="s">
        <v>4</v>
      </c>
      <c r="D22" s="120" t="str">
        <f>B19&amp;C22</f>
        <v>Option 2Contracts</v>
      </c>
      <c r="F22" s="9">
        <f>SUMPRODUCT((years=Summary!F$10)*(Option2_categories=Summary!$C22)*(Option2_costs))*Conv_2021</f>
        <v>3494842.5964780161</v>
      </c>
      <c r="G22" s="9">
        <f>SUMPRODUCT((years=Summary!G$10)*(Option2_categories=Summary!$C22)*(Option2_costs))*Conv_2021</f>
        <v>873710.64911950403</v>
      </c>
      <c r="H22" s="9">
        <f>SUMPRODUCT((years=Summary!H$10)*(Option2_categories=Summary!$C22)*(Option2_costs))*Conv_2021</f>
        <v>1111995.3716066414</v>
      </c>
      <c r="I22" s="9">
        <f>SUMPRODUCT((years=Summary!I$10)*(Option2_categories=Summary!$C22)*(Option2_costs))*Conv_2021</f>
        <v>0</v>
      </c>
      <c r="J22" s="9">
        <f>SUMPRODUCT((years=Summary!J$10)*(Option2_categories=Summary!$C22)*(Option2_costs))*Conv_2021</f>
        <v>529521.6055269721</v>
      </c>
    </row>
    <row r="23" spans="1:10" x14ac:dyDescent="0.2">
      <c r="B23" s="100"/>
      <c r="C23" s="25" t="s">
        <v>48</v>
      </c>
      <c r="D23" s="25"/>
      <c r="E23" s="25"/>
      <c r="F23" s="26">
        <f t="shared" ref="F23:J23" si="2">SUM(F20:F22)</f>
        <v>6358357.7635504445</v>
      </c>
      <c r="G23" s="26">
        <f t="shared" si="2"/>
        <v>1588564.8165809163</v>
      </c>
      <c r="H23" s="26">
        <f t="shared" si="2"/>
        <v>1588564.8165809163</v>
      </c>
      <c r="I23" s="26">
        <f t="shared" si="2"/>
        <v>0</v>
      </c>
      <c r="J23" s="26">
        <f t="shared" si="2"/>
        <v>529521.6055269721</v>
      </c>
    </row>
    <row r="24" spans="1:10" x14ac:dyDescent="0.2">
      <c r="B24" s="100"/>
    </row>
    <row r="25" spans="1:10" x14ac:dyDescent="0.2">
      <c r="C25" s="124" t="s">
        <v>54</v>
      </c>
      <c r="D25" s="26"/>
      <c r="E25" s="26"/>
      <c r="F25" s="26">
        <f>NPV(Assumptions!$B$6,Summary!F23:J23)</f>
        <v>9619605.7842373773</v>
      </c>
      <c r="H25" s="81"/>
    </row>
    <row r="26" spans="1:10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1:10" ht="15.75" x14ac:dyDescent="0.25">
      <c r="A28" s="37" t="s">
        <v>55</v>
      </c>
      <c r="B28" s="35"/>
      <c r="C28" s="36"/>
      <c r="D28" s="36"/>
      <c r="E28" s="36"/>
      <c r="F28" s="36"/>
      <c r="G28" s="36"/>
      <c r="H28" s="36"/>
      <c r="I28" s="36"/>
      <c r="J28" s="36"/>
    </row>
    <row r="29" spans="1:10" x14ac:dyDescent="0.2">
      <c r="D29" s="1"/>
    </row>
    <row r="30" spans="1:10" s="100" customFormat="1" x14ac:dyDescent="0.2"/>
    <row r="31" spans="1:10" x14ac:dyDescent="0.2">
      <c r="B31" s="82" t="str">
        <f>B10</f>
        <v>Option 1</v>
      </c>
      <c r="C31" s="82"/>
      <c r="D31" s="82"/>
      <c r="E31" s="83"/>
      <c r="F31" s="84" t="str">
        <f>F$10</f>
        <v>2021/22</v>
      </c>
      <c r="G31" s="84" t="str">
        <f t="shared" ref="G31:J31" si="3">G$10</f>
        <v>2022/23</v>
      </c>
      <c r="H31" s="84" t="str">
        <f t="shared" si="3"/>
        <v>2023/24</v>
      </c>
      <c r="I31" s="84" t="str">
        <f t="shared" si="3"/>
        <v>2024/25</v>
      </c>
      <c r="J31" s="84" t="str">
        <f t="shared" si="3"/>
        <v>2025/26</v>
      </c>
    </row>
    <row r="32" spans="1:10" x14ac:dyDescent="0.2">
      <c r="B32" s="100" t="s">
        <v>110</v>
      </c>
      <c r="C32" s="100" t="s">
        <v>0</v>
      </c>
      <c r="D32" s="120" t="str">
        <f>B31&amp;C32</f>
        <v>Option 1VPN</v>
      </c>
      <c r="E32" s="3"/>
      <c r="F32" s="9">
        <f>SUMPRODUCT(('Option 1'!$Q$8:$U$8=Summary!F$31)*('Option 1'!$D$10:$D$39=Summary!$C32)*('Option 1'!$Q$10:$U$39))*Conv_2021</f>
        <v>0</v>
      </c>
      <c r="G32" s="9">
        <f>SUMPRODUCT(('Option 1'!$Q$8:$U$8=Summary!G$31)*('Option 1'!$D$10:$D$39=Summary!$C32)*('Option 1'!$Q$10:$U$39))*Conv_2021</f>
        <v>0</v>
      </c>
      <c r="H32" s="9">
        <f>SUMPRODUCT(('Option 1'!$Q$8:$U$8=Summary!H$31)*('Option 1'!$D$10:$D$39=Summary!$C32)*('Option 1'!$Q$10:$U$39))*Conv_2021</f>
        <v>0</v>
      </c>
      <c r="I32" s="9">
        <f>SUMPRODUCT(('Option 1'!$Q$8:$U$8=Summary!I$31)*('Option 1'!$D$10:$D$39=Summary!$C32)*('Option 1'!$Q$10:$U$39))*Conv_2021</f>
        <v>0</v>
      </c>
      <c r="J32" s="9">
        <f>SUMPRODUCT(('Option 1'!$Q$8:$U$8=Summary!J$31)*('Option 1'!$D$10:$D$39=Summary!$C32)*('Option 1'!$Q$10:$U$39))*Conv_2021</f>
        <v>0</v>
      </c>
    </row>
    <row r="33" spans="2:10" x14ac:dyDescent="0.2">
      <c r="B33" s="100" t="s">
        <v>111</v>
      </c>
      <c r="C33" s="100" t="s">
        <v>49</v>
      </c>
      <c r="D33" s="120" t="str">
        <f>B31&amp;C33</f>
        <v>Option 1UE</v>
      </c>
      <c r="E33" s="3"/>
      <c r="F33" s="9">
        <f>SUMPRODUCT(('Option 1'!$Q$8:$U$8=Summary!F$31)*('Option 1'!$D$10:$D$39=Summary!$C33)*('Option 1'!$Q$10:$U$39))*Conv_2021</f>
        <v>1063141.7082807231</v>
      </c>
      <c r="G33" s="9">
        <f>SUMPRODUCT(('Option 1'!$Q$8:$U$8=Summary!G$31)*('Option 1'!$D$10:$D$39=Summary!$C33)*('Option 1'!$Q$10:$U$39))*Conv_2021</f>
        <v>0</v>
      </c>
      <c r="H33" s="9">
        <f>SUMPRODUCT(('Option 1'!$Q$8:$U$8=Summary!H$31)*('Option 1'!$D$10:$D$39=Summary!$C33)*('Option 1'!$Q$10:$U$39))*Conv_2021</f>
        <v>0</v>
      </c>
      <c r="I33" s="9">
        <f>SUMPRODUCT(('Option 1'!$Q$8:$U$8=Summary!I$31)*('Option 1'!$D$10:$D$39=Summary!$C33)*('Option 1'!$Q$10:$U$39))*Conv_2021</f>
        <v>0</v>
      </c>
      <c r="J33" s="9">
        <f>SUMPRODUCT(('Option 1'!$Q$8:$U$8=Summary!J$31)*('Option 1'!$D$10:$D$39=Summary!$C33)*('Option 1'!$Q$10:$U$39))*Conv_2021</f>
        <v>0</v>
      </c>
    </row>
    <row r="34" spans="2:10" x14ac:dyDescent="0.2">
      <c r="B34" s="100" t="s">
        <v>112</v>
      </c>
      <c r="C34" s="125" t="s">
        <v>53</v>
      </c>
      <c r="D34" s="126" t="str">
        <f>B31&amp;C34</f>
        <v>Option 1All</v>
      </c>
      <c r="E34" s="127"/>
      <c r="F34" s="9">
        <f>SUMPRODUCT(('Option 1'!$Q$8:$U$8=Summary!F$31)*('Option 1'!$D$10:$D$39=Summary!$C34)*('Option 1'!$Q$10:$U$39))*Conv_2021</f>
        <v>5295216.055269721</v>
      </c>
      <c r="G34" s="9">
        <f>SUMPRODUCT(('Option 1'!$Q$8:$U$8=Summary!G$31)*('Option 1'!$D$10:$D$39=Summary!$C34)*('Option 1'!$Q$10:$U$39))*Conv_2021</f>
        <v>0</v>
      </c>
      <c r="H34" s="9">
        <f>SUMPRODUCT(('Option 1'!$Q$8:$U$8=Summary!H$31)*('Option 1'!$D$10:$D$39=Summary!$C34)*('Option 1'!$Q$10:$U$39))*Conv_2021</f>
        <v>1588564.8165809165</v>
      </c>
      <c r="I34" s="9">
        <f>SUMPRODUCT(('Option 1'!$Q$8:$U$8=Summary!I$31)*('Option 1'!$D$10:$D$39=Summary!$C34)*('Option 1'!$Q$10:$U$39))*Conv_2021</f>
        <v>0</v>
      </c>
      <c r="J34" s="9">
        <f>SUMPRODUCT(('Option 1'!$Q$8:$U$8=Summary!J$31)*('Option 1'!$D$10:$D$39=Summary!$C34)*('Option 1'!$Q$10:$U$39))*Conv_2021</f>
        <v>529521.6055269721</v>
      </c>
    </row>
    <row r="35" spans="2:10" x14ac:dyDescent="0.2">
      <c r="C35" s="25" t="s">
        <v>25</v>
      </c>
      <c r="D35" s="129" t="str">
        <f>B31&amp;C35</f>
        <v>Option 1Total</v>
      </c>
      <c r="E35" s="130"/>
      <c r="F35" s="26">
        <f>SUM(F32:F34)</f>
        <v>6358357.7635504436</v>
      </c>
      <c r="G35" s="26">
        <f t="shared" ref="G35:J35" si="4">SUM(G32:G34)</f>
        <v>0</v>
      </c>
      <c r="H35" s="26">
        <f t="shared" si="4"/>
        <v>1588564.8165809165</v>
      </c>
      <c r="I35" s="26">
        <f t="shared" si="4"/>
        <v>0</v>
      </c>
      <c r="J35" s="26">
        <f t="shared" si="4"/>
        <v>529521.6055269721</v>
      </c>
    </row>
    <row r="36" spans="2:10" x14ac:dyDescent="0.2">
      <c r="F36" s="141"/>
      <c r="G36" s="141"/>
      <c r="H36" s="141"/>
      <c r="I36" s="141"/>
      <c r="J36" s="141"/>
    </row>
    <row r="37" spans="2:10" x14ac:dyDescent="0.2">
      <c r="D37" s="1"/>
    </row>
    <row r="38" spans="2:10" x14ac:dyDescent="0.2">
      <c r="B38" s="82" t="str">
        <f>B19</f>
        <v>Option 2</v>
      </c>
      <c r="C38" s="82"/>
      <c r="D38" s="82"/>
      <c r="E38" s="83"/>
      <c r="F38" s="84" t="str">
        <f>F$10</f>
        <v>2021/22</v>
      </c>
      <c r="G38" s="84" t="str">
        <f t="shared" ref="G38:J38" si="5">G$10</f>
        <v>2022/23</v>
      </c>
      <c r="H38" s="84" t="str">
        <f t="shared" si="5"/>
        <v>2023/24</v>
      </c>
      <c r="I38" s="84" t="str">
        <f t="shared" si="5"/>
        <v>2024/25</v>
      </c>
      <c r="J38" s="84" t="str">
        <f t="shared" si="5"/>
        <v>2025/26</v>
      </c>
    </row>
    <row r="39" spans="2:10" x14ac:dyDescent="0.2">
      <c r="B39" s="100" t="s">
        <v>110</v>
      </c>
      <c r="C39" s="100" t="s">
        <v>0</v>
      </c>
      <c r="D39" s="120" t="str">
        <f>B38&amp;C39</f>
        <v>Option 2VPN</v>
      </c>
      <c r="E39" s="3"/>
      <c r="F39" s="9">
        <f>SUMPRODUCT(('Option 2'!$Q$8:$U$8=Summary!F$38)*('Option 2'!$D$10:$D$39=Summary!$C39)*('Option 2'!$Q$10:$U$39))*Conv_2021</f>
        <v>0</v>
      </c>
      <c r="G39" s="9">
        <f>SUMPRODUCT(('Option 2'!$Q$8:$U$8=Summary!G$38)*('Option 2'!$D$10:$D$39=Summary!$C39)*('Option 2'!$Q$10:$U$39))*Conv_2021</f>
        <v>0</v>
      </c>
      <c r="H39" s="9">
        <f>SUMPRODUCT(('Option 2'!$Q$8:$U$8=Summary!H$38)*('Option 2'!$D$10:$D$39=Summary!$C39)*('Option 2'!$Q$10:$U$39))*Conv_2021</f>
        <v>0</v>
      </c>
      <c r="I39" s="9">
        <f>SUMPRODUCT(('Option 2'!$Q$8:$U$8=Summary!I$38)*('Option 2'!$D$10:$D$39=Summary!$C39)*('Option 2'!$Q$10:$U$39))*Conv_2021</f>
        <v>0</v>
      </c>
      <c r="J39" s="9">
        <f>SUMPRODUCT(('Option 2'!$Q$8:$U$8=Summary!J$38)*('Option 2'!$D$10:$D$39=Summary!$C39)*('Option 2'!$Q$10:$U$39))*Conv_2021</f>
        <v>0</v>
      </c>
    </row>
    <row r="40" spans="2:10" x14ac:dyDescent="0.2">
      <c r="B40" s="100" t="s">
        <v>111</v>
      </c>
      <c r="C40" s="100" t="s">
        <v>49</v>
      </c>
      <c r="D40" s="120" t="str">
        <f>B38&amp;C40</f>
        <v>Option 2UE</v>
      </c>
      <c r="E40" s="3"/>
      <c r="F40" s="9">
        <f>SUMPRODUCT(('Option 2'!$Q$8:$U$8=Summary!F$38)*('Option 2'!$D$10:$D$39=Summary!$C40)*('Option 2'!$Q$10:$U$39))*Conv_2021</f>
        <v>1063141.7082807231</v>
      </c>
      <c r="G40" s="9">
        <f>SUMPRODUCT(('Option 2'!$Q$8:$U$8=Summary!G$38)*('Option 2'!$D$10:$D$39=Summary!$C40)*('Option 2'!$Q$10:$U$39))*Conv_2021</f>
        <v>0</v>
      </c>
      <c r="H40" s="9">
        <f>SUMPRODUCT(('Option 2'!$Q$8:$U$8=Summary!H$38)*('Option 2'!$D$10:$D$39=Summary!$C40)*('Option 2'!$Q$10:$U$39))*Conv_2021</f>
        <v>0</v>
      </c>
      <c r="I40" s="9">
        <f>SUMPRODUCT(('Option 2'!$Q$8:$U$8=Summary!I$38)*('Option 2'!$D$10:$D$39=Summary!$C40)*('Option 2'!$Q$10:$U$39))*Conv_2021</f>
        <v>0</v>
      </c>
      <c r="J40" s="9">
        <f>SUMPRODUCT(('Option 2'!$Q$8:$U$8=Summary!J$38)*('Option 2'!$D$10:$D$39=Summary!$C40)*('Option 2'!$Q$10:$U$39))*Conv_2021</f>
        <v>0</v>
      </c>
    </row>
    <row r="41" spans="2:10" x14ac:dyDescent="0.2">
      <c r="B41" s="100" t="s">
        <v>112</v>
      </c>
      <c r="C41" s="125" t="s">
        <v>53</v>
      </c>
      <c r="D41" s="126" t="str">
        <f>B38&amp;C41</f>
        <v>Option 2All</v>
      </c>
      <c r="E41" s="127"/>
      <c r="F41" s="128">
        <f>SUMPRODUCT(('Option 2'!$Q$8:$U$8=Summary!F$38)*('Option 2'!$D$10:$D$39=Summary!$C41)*('Option 2'!$Q$10:$U$39))*Conv_2021</f>
        <v>5295216.055269721</v>
      </c>
      <c r="G41" s="128">
        <f>SUMPRODUCT(('Option 2'!$Q$8:$U$8=Summary!G$38)*('Option 2'!$D$10:$D$39=Summary!$C41)*('Option 2'!$Q$10:$U$39))*Conv_2021</f>
        <v>1588564.8165809165</v>
      </c>
      <c r="H41" s="128">
        <f>SUMPRODUCT(('Option 2'!$Q$8:$U$8=Summary!H$38)*('Option 2'!$D$10:$D$39=Summary!$C41)*('Option 2'!$Q$10:$U$39))*Conv_2021</f>
        <v>1588564.8165809165</v>
      </c>
      <c r="I41" s="128">
        <f>SUMPRODUCT(('Option 2'!$Q$8:$U$8=Summary!I$38)*('Option 2'!$D$10:$D$39=Summary!$C41)*('Option 2'!$Q$10:$U$39))*Conv_2021</f>
        <v>0</v>
      </c>
      <c r="J41" s="128">
        <f>SUMPRODUCT(('Option 2'!$Q$8:$U$8=Summary!J$38)*('Option 2'!$D$10:$D$39=Summary!$C41)*('Option 2'!$Q$10:$U$39))*Conv_2021</f>
        <v>529521.6055269721</v>
      </c>
    </row>
    <row r="42" spans="2:10" x14ac:dyDescent="0.2">
      <c r="B42" s="100"/>
      <c r="C42" s="25" t="s">
        <v>25</v>
      </c>
      <c r="D42" s="129" t="str">
        <f>B38&amp;C42</f>
        <v>Option 2Total</v>
      </c>
      <c r="E42" s="130"/>
      <c r="F42" s="26">
        <f>SUM(F39:F41)</f>
        <v>6358357.7635504436</v>
      </c>
      <c r="G42" s="26">
        <f t="shared" ref="G42" si="6">SUM(G39:G41)</f>
        <v>1588564.8165809165</v>
      </c>
      <c r="H42" s="26">
        <f t="shared" ref="H42" si="7">SUM(H39:H41)</f>
        <v>1588564.8165809165</v>
      </c>
      <c r="I42" s="26">
        <f t="shared" ref="I42" si="8">SUM(I39:I41)</f>
        <v>0</v>
      </c>
      <c r="J42" s="26">
        <f t="shared" ref="J42" si="9">SUM(J39:J41)</f>
        <v>529521.6055269721</v>
      </c>
    </row>
    <row r="43" spans="2:10" x14ac:dyDescent="0.2">
      <c r="B43" s="100"/>
      <c r="C43" s="100"/>
      <c r="E43" s="100"/>
      <c r="F43" s="141"/>
      <c r="G43" s="141"/>
      <c r="H43" s="141"/>
      <c r="I43" s="141"/>
      <c r="J43" s="141"/>
    </row>
    <row r="45" spans="2:10" x14ac:dyDescent="0.2">
      <c r="B45" s="82"/>
      <c r="C45" s="82" t="s">
        <v>56</v>
      </c>
      <c r="D45" s="82"/>
      <c r="E45" s="83"/>
      <c r="F45" s="84" t="str">
        <f>F$10</f>
        <v>2021/22</v>
      </c>
      <c r="G45" s="84" t="str">
        <f t="shared" ref="G45:J45" si="10">G$10</f>
        <v>2022/23</v>
      </c>
      <c r="H45" s="84" t="str">
        <f t="shared" si="10"/>
        <v>2023/24</v>
      </c>
      <c r="I45" s="84" t="str">
        <f t="shared" si="10"/>
        <v>2024/25</v>
      </c>
      <c r="J45" s="84" t="str">
        <f t="shared" si="10"/>
        <v>2025/26</v>
      </c>
    </row>
    <row r="46" spans="2:10" x14ac:dyDescent="0.2">
      <c r="B46" s="131" t="str">
        <f>B10</f>
        <v>Option 1</v>
      </c>
      <c r="C46" s="131"/>
      <c r="D46" s="131"/>
      <c r="E46" s="131"/>
      <c r="F46" s="132">
        <f>F14-'Option 1'!Q50</f>
        <v>0</v>
      </c>
      <c r="G46" s="132">
        <f>G14-'Option 1'!R50</f>
        <v>0</v>
      </c>
      <c r="H46" s="132">
        <f>H14-'Option 1'!S50</f>
        <v>0</v>
      </c>
      <c r="I46" s="132">
        <f>I14-'Option 1'!T50</f>
        <v>0</v>
      </c>
      <c r="J46" s="132">
        <f>J14-'Option 1'!U50</f>
        <v>0</v>
      </c>
    </row>
    <row r="47" spans="2:10" x14ac:dyDescent="0.2">
      <c r="B47" s="142" t="str">
        <f>B19</f>
        <v>Option 2</v>
      </c>
      <c r="C47" s="142"/>
      <c r="D47" s="142"/>
      <c r="E47" s="142"/>
      <c r="F47" s="143">
        <f>F23-'Option 2'!Q50</f>
        <v>0</v>
      </c>
      <c r="G47" s="143">
        <f>G23-'Option 2'!R50</f>
        <v>0</v>
      </c>
      <c r="H47" s="143">
        <f>H23-'Option 2'!S50</f>
        <v>0</v>
      </c>
      <c r="I47" s="143">
        <f>I23-'Option 2'!T50</f>
        <v>0</v>
      </c>
      <c r="J47" s="143">
        <f>J23-'Option 2'!U50</f>
        <v>0</v>
      </c>
    </row>
    <row r="48" spans="2:10" x14ac:dyDescent="0.2">
      <c r="B48" s="131" t="str">
        <f>B10</f>
        <v>Option 1</v>
      </c>
      <c r="C48" s="131"/>
      <c r="D48" s="131"/>
      <c r="E48" s="131"/>
      <c r="F48" s="132">
        <f>F14-F35</f>
        <v>0</v>
      </c>
      <c r="G48" s="132">
        <f t="shared" ref="G48:J48" si="11">G14-G35</f>
        <v>0</v>
      </c>
      <c r="H48" s="132">
        <f t="shared" si="11"/>
        <v>0</v>
      </c>
      <c r="I48" s="132">
        <f t="shared" si="11"/>
        <v>0</v>
      </c>
      <c r="J48" s="132">
        <f t="shared" si="11"/>
        <v>0</v>
      </c>
    </row>
    <row r="49" spans="1:10" x14ac:dyDescent="0.2">
      <c r="B49" s="131" t="str">
        <f>B19</f>
        <v>Option 2</v>
      </c>
      <c r="C49" s="131"/>
      <c r="D49" s="131"/>
      <c r="E49" s="131"/>
      <c r="F49" s="132">
        <f>F23-F42</f>
        <v>0</v>
      </c>
      <c r="G49" s="132">
        <f t="shared" ref="G49:J49" si="12">G23-G42</f>
        <v>0</v>
      </c>
      <c r="H49" s="132">
        <f t="shared" si="12"/>
        <v>0</v>
      </c>
      <c r="I49" s="132">
        <f t="shared" si="12"/>
        <v>0</v>
      </c>
      <c r="J49" s="132">
        <f t="shared" si="12"/>
        <v>0</v>
      </c>
    </row>
    <row r="52" spans="1:10" s="100" customFormat="1" ht="15.75" x14ac:dyDescent="0.25">
      <c r="A52" s="37" t="s">
        <v>55</v>
      </c>
      <c r="B52" s="35"/>
      <c r="C52" s="36"/>
      <c r="D52" s="36"/>
      <c r="E52" s="36"/>
      <c r="F52" s="36"/>
      <c r="G52" s="36"/>
      <c r="H52" s="36"/>
      <c r="I52" s="36"/>
      <c r="J52" s="36"/>
    </row>
    <row r="53" spans="1:10" s="100" customFormat="1" x14ac:dyDescent="0.2"/>
    <row r="54" spans="1:10" s="100" customFormat="1" x14ac:dyDescent="0.2"/>
    <row r="55" spans="1:10" s="100" customFormat="1" x14ac:dyDescent="0.2">
      <c r="B55" s="82" t="str">
        <f>B10</f>
        <v>Option 1</v>
      </c>
      <c r="C55" s="82"/>
      <c r="D55" s="82"/>
      <c r="E55" s="83"/>
      <c r="F55" s="84" t="str">
        <f>F$10</f>
        <v>2021/22</v>
      </c>
      <c r="G55" s="84" t="str">
        <f t="shared" ref="G55:J55" si="13">G$10</f>
        <v>2022/23</v>
      </c>
      <c r="H55" s="84" t="str">
        <f t="shared" si="13"/>
        <v>2023/24</v>
      </c>
      <c r="I55" s="84" t="str">
        <f t="shared" si="13"/>
        <v>2024/25</v>
      </c>
      <c r="J55" s="84" t="str">
        <f t="shared" si="13"/>
        <v>2025/26</v>
      </c>
    </row>
    <row r="56" spans="1:10" s="100" customFormat="1" x14ac:dyDescent="0.2">
      <c r="C56" s="100" t="s">
        <v>2</v>
      </c>
      <c r="D56" s="120" t="str">
        <f>$B$55&amp;C56&amp;E56</f>
        <v>Option 1LabourVPN</v>
      </c>
      <c r="E56" s="3" t="s">
        <v>0</v>
      </c>
      <c r="F56" s="9">
        <f>INDEX('Option 1'!Q$71:Q$76,MATCH($C56&amp;$E56,'Option 1'!$F$71:$F$76,0))</f>
        <v>334866.16994231759</v>
      </c>
      <c r="G56" s="9">
        <f>INDEX('Option 1'!R$71:R$76,MATCH($C56&amp;$E56,'Option 1'!$F$71:$F$76,0))</f>
        <v>0</v>
      </c>
      <c r="H56" s="9">
        <f>INDEX('Option 1'!S$71:S$76,MATCH($C56&amp;$E56,'Option 1'!$F$71:$F$76,0))</f>
        <v>66973.233988463515</v>
      </c>
      <c r="I56" s="9">
        <f>INDEX('Option 1'!T$71:T$76,MATCH($C56&amp;$E56,'Option 1'!$F$71:$F$76,0))</f>
        <v>0</v>
      </c>
      <c r="J56" s="9">
        <f>INDEX('Option 1'!U$71:U$76,MATCH($C56&amp;$E56,'Option 1'!$F$71:$F$76,0))</f>
        <v>0</v>
      </c>
    </row>
    <row r="57" spans="1:10" s="100" customFormat="1" x14ac:dyDescent="0.2">
      <c r="C57" s="100" t="s">
        <v>1</v>
      </c>
      <c r="D57" s="120" t="str">
        <f t="shared" ref="D57:D61" si="14">$B$55&amp;C57&amp;E57</f>
        <v>Option 1MaterialsVPN</v>
      </c>
      <c r="E57" s="3" t="s">
        <v>0</v>
      </c>
      <c r="F57" s="9">
        <f>INDEX('Option 1'!Q$71:Q$76,MATCH($C57&amp;$E57,'Option 1'!$F$71:$F$76,0))</f>
        <v>1172031.5947981116</v>
      </c>
      <c r="G57" s="9">
        <f>INDEX('Option 1'!R$71:R$76,MATCH($C57&amp;$E57,'Option 1'!$F$71:$F$76,0))</f>
        <v>0</v>
      </c>
      <c r="H57" s="9">
        <f>INDEX('Option 1'!S$71:S$76,MATCH($C57&amp;$E57,'Option 1'!$F$71:$F$76,0))</f>
        <v>234406.31895962232</v>
      </c>
      <c r="I57" s="9">
        <f>INDEX('Option 1'!T$71:T$76,MATCH($C57&amp;$E57,'Option 1'!$F$71:$F$76,0))</f>
        <v>0</v>
      </c>
      <c r="J57" s="9">
        <f>INDEX('Option 1'!U$71:U$76,MATCH($C57&amp;$E57,'Option 1'!$F$71:$F$76,0))</f>
        <v>0</v>
      </c>
    </row>
    <row r="58" spans="1:10" s="100" customFormat="1" x14ac:dyDescent="0.2">
      <c r="C58" s="100" t="s">
        <v>4</v>
      </c>
      <c r="D58" s="120" t="str">
        <f t="shared" si="14"/>
        <v>Option 1ContractsVPN</v>
      </c>
      <c r="E58" s="3" t="s">
        <v>0</v>
      </c>
      <c r="F58" s="9">
        <f>INDEX('Option 1'!Q$71:Q$76,MATCH($C58&amp;$E58,'Option 1'!$F$71:$F$76,0))</f>
        <v>1841763.9346827469</v>
      </c>
      <c r="G58" s="9">
        <f>INDEX('Option 1'!R$71:R$76,MATCH($C58&amp;$E58,'Option 1'!$F$71:$F$76,0))</f>
        <v>0</v>
      </c>
      <c r="H58" s="9">
        <f>INDEX('Option 1'!S$71:S$76,MATCH($C58&amp;$E58,'Option 1'!$F$71:$F$76,0))</f>
        <v>703218.95687886688</v>
      </c>
      <c r="I58" s="9">
        <f>INDEX('Option 1'!T$71:T$76,MATCH($C58&amp;$E58,'Option 1'!$F$71:$F$76,0))</f>
        <v>0</v>
      </c>
      <c r="J58" s="9">
        <f>INDEX('Option 1'!U$71:U$76,MATCH($C58&amp;$E58,'Option 1'!$F$71:$F$76,0))</f>
        <v>334866.16994231759</v>
      </c>
    </row>
    <row r="59" spans="1:10" s="100" customFormat="1" x14ac:dyDescent="0.2">
      <c r="C59" s="100" t="s">
        <v>2</v>
      </c>
      <c r="D59" s="120" t="str">
        <f t="shared" si="14"/>
        <v>Option 1LabourUE</v>
      </c>
      <c r="E59" s="3" t="s">
        <v>49</v>
      </c>
      <c r="F59" s="9">
        <f>INDEX('Option 1'!Q$71:Q$76,MATCH($C59&amp;$E59,'Option 1'!$F$71:$F$76,0))</f>
        <v>304658.25391682773</v>
      </c>
      <c r="G59" s="9">
        <f>INDEX('Option 1'!R$71:R$76,MATCH($C59&amp;$E59,'Option 1'!$F$71:$F$76,0))</f>
        <v>0</v>
      </c>
      <c r="H59" s="9">
        <f>INDEX('Option 1'!S$71:S$76,MATCH($C59&amp;$E59,'Option 1'!$F$71:$F$76,0))</f>
        <v>38931.087116930903</v>
      </c>
      <c r="I59" s="9">
        <f>INDEX('Option 1'!T$71:T$76,MATCH($C59&amp;$E59,'Option 1'!$F$71:$F$76,0))</f>
        <v>0</v>
      </c>
      <c r="J59" s="9">
        <f>INDEX('Option 1'!U$71:U$76,MATCH($C59&amp;$E59,'Option 1'!$F$71:$F$76,0))</f>
        <v>0</v>
      </c>
    </row>
    <row r="60" spans="1:10" s="100" customFormat="1" x14ac:dyDescent="0.2">
      <c r="C60" s="100" t="s">
        <v>1</v>
      </c>
      <c r="D60" s="120" t="str">
        <f t="shared" si="14"/>
        <v>Option 1MaterialsUE</v>
      </c>
      <c r="E60" s="3" t="s">
        <v>49</v>
      </c>
      <c r="F60" s="9">
        <f>INDEX('Option 1'!Q$71:Q$76,MATCH($C60&amp;$E60,'Option 1'!$F$71:$F$76,0))</f>
        <v>1051959.1484151713</v>
      </c>
      <c r="G60" s="9">
        <f>INDEX('Option 1'!R$71:R$76,MATCH($C60&amp;$E60,'Option 1'!$F$71:$F$76,0))</f>
        <v>0</v>
      </c>
      <c r="H60" s="9">
        <f>INDEX('Option 1'!S$71:S$76,MATCH($C60&amp;$E60,'Option 1'!$F$71:$F$76,0))</f>
        <v>136258.80490925818</v>
      </c>
      <c r="I60" s="9">
        <f>INDEX('Option 1'!T$71:T$76,MATCH($C60&amp;$E60,'Option 1'!$F$71:$F$76,0))</f>
        <v>0</v>
      </c>
      <c r="J60" s="9">
        <f>INDEX('Option 1'!U$71:U$76,MATCH($C60&amp;$E60,'Option 1'!$F$71:$F$76,0))</f>
        <v>0</v>
      </c>
    </row>
    <row r="61" spans="1:10" s="100" customFormat="1" x14ac:dyDescent="0.2">
      <c r="C61" s="125" t="s">
        <v>4</v>
      </c>
      <c r="D61" s="126" t="str">
        <f t="shared" si="14"/>
        <v>Option 1ContractsUE</v>
      </c>
      <c r="E61" s="127" t="s">
        <v>49</v>
      </c>
      <c r="F61" s="9">
        <f>INDEX('Option 1'!Q$71:Q$76,MATCH($C61&amp;$E61,'Option 1'!$F$71:$F$76,0))</f>
        <v>1653078.6617952692</v>
      </c>
      <c r="G61" s="9">
        <f>INDEX('Option 1'!R$71:R$76,MATCH($C61&amp;$E61,'Option 1'!$F$71:$F$76,0))</f>
        <v>0</v>
      </c>
      <c r="H61" s="9">
        <f>INDEX('Option 1'!S$71:S$76,MATCH($C61&amp;$E61,'Option 1'!$F$71:$F$76,0))</f>
        <v>408776.41472777451</v>
      </c>
      <c r="I61" s="9">
        <f>INDEX('Option 1'!T$71:T$76,MATCH($C61&amp;$E61,'Option 1'!$F$71:$F$76,0))</f>
        <v>0</v>
      </c>
      <c r="J61" s="9">
        <f>INDEX('Option 1'!U$71:U$76,MATCH($C61&amp;$E61,'Option 1'!$F$71:$F$76,0))</f>
        <v>194655.43558465451</v>
      </c>
    </row>
    <row r="62" spans="1:10" s="100" customFormat="1" x14ac:dyDescent="0.2">
      <c r="C62" s="25" t="s">
        <v>25</v>
      </c>
      <c r="D62" s="129"/>
      <c r="E62" s="130"/>
      <c r="F62" s="26">
        <f>SUM(F56:F61)</f>
        <v>6358357.7635504454</v>
      </c>
      <c r="G62" s="26">
        <f t="shared" ref="G62:J62" si="15">SUM(G56:G61)</f>
        <v>0</v>
      </c>
      <c r="H62" s="26">
        <f t="shared" si="15"/>
        <v>1588564.8165809163</v>
      </c>
      <c r="I62" s="26">
        <f t="shared" si="15"/>
        <v>0</v>
      </c>
      <c r="J62" s="26">
        <f t="shared" si="15"/>
        <v>529521.6055269721</v>
      </c>
    </row>
    <row r="65" spans="2:10" s="100" customFormat="1" x14ac:dyDescent="0.2">
      <c r="B65" s="82" t="str">
        <f>B19</f>
        <v>Option 2</v>
      </c>
      <c r="C65" s="82"/>
      <c r="D65" s="82"/>
      <c r="E65" s="83"/>
      <c r="F65" s="84" t="str">
        <f>F$10</f>
        <v>2021/22</v>
      </c>
      <c r="G65" s="84" t="str">
        <f t="shared" ref="G65:J65" si="16">G$10</f>
        <v>2022/23</v>
      </c>
      <c r="H65" s="84" t="str">
        <f t="shared" si="16"/>
        <v>2023/24</v>
      </c>
      <c r="I65" s="84" t="str">
        <f t="shared" si="16"/>
        <v>2024/25</v>
      </c>
      <c r="J65" s="84" t="str">
        <f t="shared" si="16"/>
        <v>2025/26</v>
      </c>
    </row>
    <row r="66" spans="2:10" s="100" customFormat="1" x14ac:dyDescent="0.2">
      <c r="C66" s="100" t="s">
        <v>2</v>
      </c>
      <c r="D66" s="120" t="str">
        <f>$B$65&amp;C66&amp;E66</f>
        <v>Option 2LabourVPN</v>
      </c>
      <c r="E66" s="3" t="s">
        <v>0</v>
      </c>
      <c r="F66" s="9">
        <f>INDEX('Option 2'!Q$71:Q$76,MATCH($C66&amp;$E66,'Option 2'!$F$71:$F$76,0))</f>
        <v>334866.16994231759</v>
      </c>
      <c r="G66" s="9">
        <f>INDEX('Option 2'!R$71:R$76,MATCH($C66&amp;$E66,'Option 2'!$F$71:$F$76,0))</f>
        <v>100459.85098269529</v>
      </c>
      <c r="H66" s="9">
        <f>INDEX('Option 2'!S$71:S$76,MATCH($C66&amp;$E66,'Option 2'!$F$71:$F$76,0))</f>
        <v>66973.233988463515</v>
      </c>
      <c r="I66" s="9">
        <f>INDEX('Option 2'!T$71:T$76,MATCH($C66&amp;$E66,'Option 2'!$F$71:$F$76,0))</f>
        <v>0</v>
      </c>
      <c r="J66" s="9">
        <f>INDEX('Option 2'!U$71:U$76,MATCH($C66&amp;$E66,'Option 2'!$F$71:$F$76,0))</f>
        <v>0</v>
      </c>
    </row>
    <row r="67" spans="2:10" s="100" customFormat="1" x14ac:dyDescent="0.2">
      <c r="C67" s="100" t="s">
        <v>1</v>
      </c>
      <c r="D67" s="120" t="str">
        <f t="shared" ref="D67:D71" si="17">$B$65&amp;C67&amp;E67</f>
        <v>Option 2MaterialsVPN</v>
      </c>
      <c r="E67" s="3" t="s">
        <v>0</v>
      </c>
      <c r="F67" s="9">
        <f>INDEX('Option 2'!Q$71:Q$76,MATCH($C67&amp;$E67,'Option 2'!$F$71:$F$76,0))</f>
        <v>1172031.5947981116</v>
      </c>
      <c r="G67" s="9">
        <f>INDEX('Option 2'!R$71:R$76,MATCH($C67&amp;$E67,'Option 2'!$F$71:$F$76,0))</f>
        <v>351609.47843943344</v>
      </c>
      <c r="H67" s="9">
        <f>INDEX('Option 2'!S$71:S$76,MATCH($C67&amp;$E67,'Option 2'!$F$71:$F$76,0))</f>
        <v>234406.31895962232</v>
      </c>
      <c r="I67" s="9">
        <f>INDEX('Option 2'!T$71:T$76,MATCH($C67&amp;$E67,'Option 2'!$F$71:$F$76,0))</f>
        <v>0</v>
      </c>
      <c r="J67" s="9">
        <f>INDEX('Option 2'!U$71:U$76,MATCH($C67&amp;$E67,'Option 2'!$F$71:$F$76,0))</f>
        <v>0</v>
      </c>
    </row>
    <row r="68" spans="2:10" s="100" customFormat="1" x14ac:dyDescent="0.2">
      <c r="C68" s="100" t="s">
        <v>4</v>
      </c>
      <c r="D68" s="120" t="str">
        <f t="shared" si="17"/>
        <v>Option 2ContractsVPN</v>
      </c>
      <c r="E68" s="3" t="s">
        <v>0</v>
      </c>
      <c r="F68" s="9">
        <f>INDEX('Option 2'!Q$71:Q$76,MATCH($C68&amp;$E68,'Option 2'!$F$71:$F$76,0))</f>
        <v>1841763.9346827469</v>
      </c>
      <c r="G68" s="9">
        <f>INDEX('Option 2'!R$71:R$76,MATCH($C68&amp;$E68,'Option 2'!$F$71:$F$76,0))</f>
        <v>552529.18040482409</v>
      </c>
      <c r="H68" s="9">
        <f>INDEX('Option 2'!S$71:S$76,MATCH($C68&amp;$E68,'Option 2'!$F$71:$F$76,0))</f>
        <v>703218.95687886688</v>
      </c>
      <c r="I68" s="9">
        <f>INDEX('Option 2'!T$71:T$76,MATCH($C68&amp;$E68,'Option 2'!$F$71:$F$76,0))</f>
        <v>0</v>
      </c>
      <c r="J68" s="9">
        <f>INDEX('Option 2'!U$71:U$76,MATCH($C68&amp;$E68,'Option 2'!$F$71:$F$76,0))</f>
        <v>334866.16994231759</v>
      </c>
    </row>
    <row r="69" spans="2:10" s="100" customFormat="1" x14ac:dyDescent="0.2">
      <c r="C69" s="100" t="s">
        <v>2</v>
      </c>
      <c r="D69" s="120" t="str">
        <f t="shared" si="17"/>
        <v>Option 2LabourUE</v>
      </c>
      <c r="E69" s="3" t="s">
        <v>49</v>
      </c>
      <c r="F69" s="9">
        <f>INDEX('Option 2'!Q$71:Q$76,MATCH($C69&amp;$E69,'Option 2'!$F$71:$F$76,0))</f>
        <v>304658.25391682773</v>
      </c>
      <c r="G69" s="9">
        <f>INDEX('Option 2'!R$71:R$76,MATCH($C69&amp;$E69,'Option 2'!$F$71:$F$76,0))</f>
        <v>58396.630675396365</v>
      </c>
      <c r="H69" s="9">
        <f>INDEX('Option 2'!S$71:S$76,MATCH($C69&amp;$E69,'Option 2'!$F$71:$F$76,0))</f>
        <v>38931.087116930903</v>
      </c>
      <c r="I69" s="9">
        <f>INDEX('Option 2'!T$71:T$76,MATCH($C69&amp;$E69,'Option 2'!$F$71:$F$76,0))</f>
        <v>0</v>
      </c>
      <c r="J69" s="9">
        <f>INDEX('Option 2'!U$71:U$76,MATCH($C69&amp;$E69,'Option 2'!$F$71:$F$76,0))</f>
        <v>0</v>
      </c>
    </row>
    <row r="70" spans="2:10" s="100" customFormat="1" x14ac:dyDescent="0.2">
      <c r="C70" s="100" t="s">
        <v>1</v>
      </c>
      <c r="D70" s="120" t="str">
        <f t="shared" si="17"/>
        <v>Option 2MaterialsUE</v>
      </c>
      <c r="E70" s="3" t="s">
        <v>49</v>
      </c>
      <c r="F70" s="9">
        <f>INDEX('Option 2'!Q$71:Q$76,MATCH($C70&amp;$E70,'Option 2'!$F$71:$F$76,0))</f>
        <v>1051959.1484151713</v>
      </c>
      <c r="G70" s="9">
        <f>INDEX('Option 2'!R$71:R$76,MATCH($C70&amp;$E70,'Option 2'!$F$71:$F$76,0))</f>
        <v>204388.20736388725</v>
      </c>
      <c r="H70" s="9">
        <f>INDEX('Option 2'!S$71:S$76,MATCH($C70&amp;$E70,'Option 2'!$F$71:$F$76,0))</f>
        <v>136258.80490925818</v>
      </c>
      <c r="I70" s="9">
        <f>INDEX('Option 2'!T$71:T$76,MATCH($C70&amp;$E70,'Option 2'!$F$71:$F$76,0))</f>
        <v>0</v>
      </c>
      <c r="J70" s="9">
        <f>INDEX('Option 2'!U$71:U$76,MATCH($C70&amp;$E70,'Option 2'!$F$71:$F$76,0))</f>
        <v>0</v>
      </c>
    </row>
    <row r="71" spans="2:10" s="100" customFormat="1" x14ac:dyDescent="0.2">
      <c r="C71" s="125" t="s">
        <v>4</v>
      </c>
      <c r="D71" s="126" t="str">
        <f t="shared" si="17"/>
        <v>Option 2ContractsUE</v>
      </c>
      <c r="E71" s="127" t="s">
        <v>49</v>
      </c>
      <c r="F71" s="9">
        <f>INDEX('Option 2'!Q$71:Q$76,MATCH($C71&amp;$E71,'Option 2'!$F$71:$F$76,0))</f>
        <v>1653078.6617952692</v>
      </c>
      <c r="G71" s="9">
        <f>INDEX('Option 2'!R$71:R$76,MATCH($C71&amp;$E71,'Option 2'!$F$71:$F$76,0))</f>
        <v>321181.46871468</v>
      </c>
      <c r="H71" s="9">
        <f>INDEX('Option 2'!S$71:S$76,MATCH($C71&amp;$E71,'Option 2'!$F$71:$F$76,0))</f>
        <v>408776.41472777451</v>
      </c>
      <c r="I71" s="9">
        <f>INDEX('Option 2'!T$71:T$76,MATCH($C71&amp;$E71,'Option 2'!$F$71:$F$76,0))</f>
        <v>0</v>
      </c>
      <c r="J71" s="9">
        <f>INDEX('Option 2'!U$71:U$76,MATCH($C71&amp;$E71,'Option 2'!$F$71:$F$76,0))</f>
        <v>194655.43558465451</v>
      </c>
    </row>
    <row r="72" spans="2:10" s="100" customFormat="1" x14ac:dyDescent="0.2">
      <c r="C72" s="25" t="s">
        <v>25</v>
      </c>
      <c r="D72" s="129"/>
      <c r="E72" s="130"/>
      <c r="F72" s="26">
        <f>SUM(F66:F71)</f>
        <v>6358357.7635504454</v>
      </c>
      <c r="G72" s="26">
        <f t="shared" ref="G72:J72" si="18">SUM(G66:G71)</f>
        <v>1588564.8165809165</v>
      </c>
      <c r="H72" s="26">
        <f t="shared" si="18"/>
        <v>1588564.8165809163</v>
      </c>
      <c r="I72" s="26">
        <f t="shared" si="18"/>
        <v>0</v>
      </c>
      <c r="J72" s="26">
        <f t="shared" si="18"/>
        <v>529521.6055269721</v>
      </c>
    </row>
    <row r="75" spans="2:10" s="100" customFormat="1" x14ac:dyDescent="0.2">
      <c r="B75" s="82"/>
      <c r="C75" s="82" t="s">
        <v>56</v>
      </c>
      <c r="D75" s="82"/>
      <c r="E75" s="83"/>
      <c r="F75" s="84" t="str">
        <f>F$10</f>
        <v>2021/22</v>
      </c>
      <c r="G75" s="84" t="str">
        <f t="shared" ref="G75:J75" si="19">G$10</f>
        <v>2022/23</v>
      </c>
      <c r="H75" s="84" t="str">
        <f t="shared" si="19"/>
        <v>2023/24</v>
      </c>
      <c r="I75" s="84" t="str">
        <f t="shared" si="19"/>
        <v>2024/25</v>
      </c>
      <c r="J75" s="84" t="str">
        <f t="shared" si="19"/>
        <v>2025/26</v>
      </c>
    </row>
    <row r="76" spans="2:10" s="100" customFormat="1" x14ac:dyDescent="0.2">
      <c r="B76" s="131" t="str">
        <f>B10</f>
        <v>Option 1</v>
      </c>
      <c r="C76" s="131"/>
      <c r="D76" s="131"/>
      <c r="E76" s="131"/>
      <c r="F76" s="132">
        <f>F62-'Option 1'!Q50</f>
        <v>0</v>
      </c>
      <c r="G76" s="132">
        <f>G62-'Option 1'!R50</f>
        <v>0</v>
      </c>
      <c r="H76" s="132">
        <f>H62-'Option 1'!S50</f>
        <v>0</v>
      </c>
      <c r="I76" s="132">
        <f>I62-'Option 1'!T50</f>
        <v>0</v>
      </c>
      <c r="J76" s="132">
        <f>J62-'Option 1'!U50</f>
        <v>0</v>
      </c>
    </row>
    <row r="77" spans="2:10" s="100" customFormat="1" x14ac:dyDescent="0.2">
      <c r="B77" s="142" t="str">
        <f>B19</f>
        <v>Option 2</v>
      </c>
      <c r="C77" s="142"/>
      <c r="D77" s="142"/>
      <c r="E77" s="142"/>
      <c r="F77" s="143">
        <f>F72-'Option 2'!Q50</f>
        <v>0</v>
      </c>
      <c r="G77" s="143">
        <f>G72-'Option 2'!R50</f>
        <v>0</v>
      </c>
      <c r="H77" s="143">
        <f>H72-'Option 2'!S50</f>
        <v>0</v>
      </c>
      <c r="I77" s="143">
        <f>I72-'Option 2'!T50</f>
        <v>0</v>
      </c>
      <c r="J77" s="143">
        <f>J72-'Option 2'!U50</f>
        <v>0</v>
      </c>
    </row>
    <row r="78" spans="2:10" s="100" customFormat="1" x14ac:dyDescent="0.2">
      <c r="B78" s="131" t="str">
        <f>B10</f>
        <v>Option 1</v>
      </c>
      <c r="C78" s="131"/>
      <c r="D78" s="131"/>
      <c r="E78" s="131"/>
      <c r="F78" s="132">
        <f>F35-F62</f>
        <v>0</v>
      </c>
      <c r="G78" s="132">
        <f t="shared" ref="G78:J78" si="20">G35-G62</f>
        <v>0</v>
      </c>
      <c r="H78" s="132">
        <f t="shared" si="20"/>
        <v>0</v>
      </c>
      <c r="I78" s="132">
        <f t="shared" si="20"/>
        <v>0</v>
      </c>
      <c r="J78" s="132">
        <f t="shared" si="20"/>
        <v>0</v>
      </c>
    </row>
    <row r="79" spans="2:10" s="100" customFormat="1" x14ac:dyDescent="0.2">
      <c r="B79" s="131" t="str">
        <f>B19</f>
        <v>Option 2</v>
      </c>
      <c r="C79" s="131"/>
      <c r="D79" s="131"/>
      <c r="E79" s="131"/>
      <c r="F79" s="132">
        <f>F42-F72</f>
        <v>0</v>
      </c>
      <c r="G79" s="132">
        <f t="shared" ref="G79:J79" si="21">G42-G72</f>
        <v>0</v>
      </c>
      <c r="H79" s="132">
        <f t="shared" si="21"/>
        <v>0</v>
      </c>
      <c r="I79" s="132">
        <f t="shared" si="21"/>
        <v>0</v>
      </c>
      <c r="J79" s="132">
        <f t="shared" si="21"/>
        <v>0</v>
      </c>
    </row>
  </sheetData>
  <conditionalFormatting sqref="D7">
    <cfRule type="expression" dxfId="10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Assumptions!$A$23:$A$27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6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58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57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61" t="s">
        <v>103</v>
      </c>
      <c r="B11" s="28"/>
      <c r="C11" s="103"/>
      <c r="D11" s="162" t="s">
        <v>108</v>
      </c>
      <c r="E11" s="162" t="s">
        <v>108</v>
      </c>
      <c r="F11" s="162" t="s">
        <v>108</v>
      </c>
      <c r="G11" s="162" t="s">
        <v>108</v>
      </c>
      <c r="H11" s="162" t="s">
        <v>108</v>
      </c>
      <c r="I11" s="162" t="s">
        <v>108</v>
      </c>
      <c r="J11" s="162" t="s">
        <v>109</v>
      </c>
    </row>
    <row r="12" spans="1:35" ht="12.75" customHeight="1" x14ac:dyDescent="0.25">
      <c r="A12" s="163" t="s">
        <v>104</v>
      </c>
      <c r="B12" s="4"/>
      <c r="C12" s="163"/>
      <c r="D12" s="164" t="s">
        <v>30</v>
      </c>
      <c r="E12" s="164" t="s">
        <v>30</v>
      </c>
      <c r="F12" s="164" t="s">
        <v>30</v>
      </c>
      <c r="G12" s="164" t="s">
        <v>30</v>
      </c>
      <c r="H12" s="164" t="s">
        <v>30</v>
      </c>
      <c r="I12" s="165" t="s">
        <v>31</v>
      </c>
      <c r="J12" s="165" t="s">
        <v>31</v>
      </c>
    </row>
    <row r="13" spans="1:35" ht="12.75" customHeight="1" x14ac:dyDescent="0.25">
      <c r="A13" s="100" t="s">
        <v>105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89"/>
      <c r="B20" s="91"/>
      <c r="C20" s="91"/>
      <c r="D20" s="91"/>
      <c r="E20" s="91"/>
      <c r="F20" s="91"/>
      <c r="G20" s="91"/>
      <c r="H20" s="89"/>
    </row>
    <row r="21" spans="1:8" ht="12.75" customHeight="1" x14ac:dyDescent="0.25">
      <c r="A21" s="89"/>
      <c r="B21" s="91"/>
      <c r="C21" s="91"/>
      <c r="D21" s="91"/>
      <c r="E21" s="91"/>
      <c r="F21" s="91"/>
      <c r="G21" s="91"/>
      <c r="H21" s="89"/>
    </row>
    <row r="22" spans="1:8" ht="12.75" customHeight="1" x14ac:dyDescent="0.25">
      <c r="A22" s="123" t="s">
        <v>50</v>
      </c>
      <c r="B22" s="123" t="s">
        <v>44</v>
      </c>
      <c r="C22" s="123"/>
      <c r="D22" s="123"/>
    </row>
    <row r="23" spans="1:8" ht="12.75" customHeight="1" x14ac:dyDescent="0.25">
      <c r="A23" s="99" t="str">
        <f>'Option 1'!$A$3</f>
        <v>Option 1</v>
      </c>
      <c r="B23" s="166" t="s">
        <v>106</v>
      </c>
    </row>
    <row r="24" spans="1:8" ht="12.75" customHeight="1" x14ac:dyDescent="0.25">
      <c r="A24" s="99" t="str">
        <f>'Option 2'!$A$3</f>
        <v>Option 2</v>
      </c>
      <c r="B24" s="166" t="s">
        <v>107</v>
      </c>
    </row>
    <row r="25" spans="1:8" ht="12.75" customHeight="1" x14ac:dyDescent="0.25">
      <c r="A25" s="99"/>
      <c r="B25" s="99"/>
    </row>
    <row r="26" spans="1:8" ht="12.75" customHeight="1" x14ac:dyDescent="0.25">
      <c r="A26" s="99"/>
      <c r="B26" s="99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>
      <c r="A31" s="123" t="s">
        <v>64</v>
      </c>
      <c r="B31" s="140"/>
    </row>
    <row r="32" spans="1:8" ht="12.75" customHeight="1" x14ac:dyDescent="0.25">
      <c r="A32" s="99" t="s">
        <v>65</v>
      </c>
      <c r="B32" s="136">
        <v>835781</v>
      </c>
    </row>
    <row r="33" spans="1:2" ht="12.75" customHeight="1" x14ac:dyDescent="0.25">
      <c r="A33" s="99" t="s">
        <v>66</v>
      </c>
      <c r="B33" s="136">
        <v>342669</v>
      </c>
    </row>
    <row r="34" spans="1:2" ht="12.75" customHeight="1" x14ac:dyDescent="0.25">
      <c r="A34" s="167" t="s">
        <v>67</v>
      </c>
      <c r="B34" s="168">
        <v>685025</v>
      </c>
    </row>
    <row r="35" spans="1:2" ht="12.75" customHeight="1" x14ac:dyDescent="0.25">
      <c r="A35" s="169" t="s">
        <v>25</v>
      </c>
      <c r="B35" s="137">
        <f>SUM(B32:B34)</f>
        <v>1863475</v>
      </c>
    </row>
    <row r="36" spans="1:2" ht="12.75" customHeight="1" x14ac:dyDescent="0.25"/>
    <row r="37" spans="1:2" ht="12.75" customHeight="1" x14ac:dyDescent="0.25">
      <c r="A37" s="99" t="s">
        <v>0</v>
      </c>
      <c r="B37" s="138">
        <f>SUM(B32:B33)/$B$35</f>
        <v>0.63239378043708661</v>
      </c>
    </row>
    <row r="38" spans="1:2" ht="12.75" customHeight="1" x14ac:dyDescent="0.25">
      <c r="A38" s="167" t="s">
        <v>67</v>
      </c>
      <c r="B38" s="170">
        <f>B34/$B$35</f>
        <v>0.36760621956291339</v>
      </c>
    </row>
    <row r="39" spans="1:2" ht="12.75" customHeight="1" x14ac:dyDescent="0.25">
      <c r="A39" s="169" t="s">
        <v>25</v>
      </c>
      <c r="B39" s="139">
        <f>SUM(B37:B38)</f>
        <v>1</v>
      </c>
    </row>
    <row r="40" spans="1:2" ht="12.75" customHeight="1" x14ac:dyDescent="0.25"/>
    <row r="41" spans="1:2" ht="12.75" customHeight="1" x14ac:dyDescent="0.25"/>
    <row r="42" spans="1:2" ht="12.75" customHeight="1" x14ac:dyDescent="0.25"/>
    <row r="43" spans="1:2" ht="12.75" customHeight="1" x14ac:dyDescent="0.25"/>
    <row r="44" spans="1:2" ht="12.75" customHeight="1" x14ac:dyDescent="0.25"/>
    <row r="45" spans="1:2" ht="12.75" customHeight="1" x14ac:dyDescent="0.25"/>
    <row r="46" spans="1:2" ht="12.75" customHeight="1" x14ac:dyDescent="0.25"/>
    <row r="47" spans="1:2" ht="12.75" customHeight="1" x14ac:dyDescent="0.25"/>
    <row r="48" spans="1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8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3.8554687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2.28515625" style="1" bestFit="1" customWidth="1"/>
    <col min="24" max="24" width="12.42578125" style="1" bestFit="1" customWidth="1"/>
    <col min="25" max="25" width="9.28515625" style="1" bestFit="1" customWidth="1"/>
    <col min="26" max="26" width="12.42578125" style="1" bestFit="1" customWidth="1"/>
    <col min="27" max="27" width="9.28515625" style="1" bestFit="1" customWidth="1"/>
    <col min="28" max="28" width="11" style="1" bestFit="1" customWidth="1"/>
    <col min="29" max="16384" width="9.140625" style="1"/>
  </cols>
  <sheetData>
    <row r="1" spans="1:2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44</v>
      </c>
      <c r="D7" s="121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16</v>
      </c>
      <c r="L8" s="122" t="s">
        <v>17</v>
      </c>
      <c r="M8" s="122" t="s">
        <v>18</v>
      </c>
      <c r="N8" s="122" t="s">
        <v>19</v>
      </c>
      <c r="O8" s="122" t="s">
        <v>20</v>
      </c>
      <c r="P8" s="4"/>
      <c r="Q8" s="122" t="s">
        <v>16</v>
      </c>
      <c r="R8" s="122" t="s">
        <v>17</v>
      </c>
      <c r="S8" s="122" t="s">
        <v>18</v>
      </c>
      <c r="T8" s="122" t="s">
        <v>19</v>
      </c>
      <c r="U8" s="122" t="s">
        <v>20</v>
      </c>
    </row>
    <row r="9" spans="1:26" ht="12.75" customHeight="1" x14ac:dyDescent="0.2">
      <c r="A9" s="100"/>
      <c r="B9" s="100"/>
      <c r="C9" s="4"/>
      <c r="D9" s="4"/>
      <c r="E9" s="4"/>
      <c r="F9" s="4"/>
      <c r="G9" s="20"/>
      <c r="H9" s="133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/>
      <c r="C10" s="108" t="s">
        <v>59</v>
      </c>
      <c r="D10" s="109" t="s">
        <v>53</v>
      </c>
      <c r="E10" s="109" t="s">
        <v>5</v>
      </c>
      <c r="F10" s="110" t="s">
        <v>2</v>
      </c>
      <c r="G10" s="3"/>
      <c r="H10" s="111">
        <v>122.2</v>
      </c>
      <c r="I10" s="12" t="s">
        <v>51</v>
      </c>
      <c r="J10" s="3"/>
      <c r="K10" s="112">
        <v>4091.6530278232403</v>
      </c>
      <c r="L10" s="112"/>
      <c r="M10" s="112"/>
      <c r="N10" s="112"/>
      <c r="O10" s="112"/>
      <c r="P10" s="3"/>
      <c r="Q10" s="8">
        <f t="shared" ref="Q10:U12" si="0">K10*$H10</f>
        <v>500000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W10" s="133"/>
    </row>
    <row r="11" spans="1:26" ht="12.75" customHeight="1" x14ac:dyDescent="0.2">
      <c r="A11" s="7"/>
      <c r="C11" s="108" t="s">
        <v>60</v>
      </c>
      <c r="D11" s="109" t="s">
        <v>53</v>
      </c>
      <c r="E11" s="109" t="s">
        <v>5</v>
      </c>
      <c r="F11" s="110" t="s">
        <v>2</v>
      </c>
      <c r="G11" s="3"/>
      <c r="H11" s="111">
        <v>122.2</v>
      </c>
      <c r="I11" s="12" t="s">
        <v>51</v>
      </c>
      <c r="J11" s="3"/>
      <c r="K11" s="112"/>
      <c r="L11" s="112"/>
      <c r="M11" s="112">
        <v>818.33060556464807</v>
      </c>
      <c r="N11" s="112"/>
      <c r="O11" s="112"/>
      <c r="P11" s="3"/>
      <c r="Q11" s="8">
        <f t="shared" si="0"/>
        <v>0</v>
      </c>
      <c r="R11" s="8">
        <f t="shared" si="0"/>
        <v>0</v>
      </c>
      <c r="S11" s="8">
        <f t="shared" si="0"/>
        <v>100000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35" t="s">
        <v>102</v>
      </c>
      <c r="D12" s="109" t="s">
        <v>49</v>
      </c>
      <c r="E12" s="158" t="s">
        <v>5</v>
      </c>
      <c r="F12" s="158" t="s">
        <v>2</v>
      </c>
      <c r="G12" s="3"/>
      <c r="H12" s="111">
        <v>122.2</v>
      </c>
      <c r="I12" s="12" t="s">
        <v>51</v>
      </c>
      <c r="J12" s="3"/>
      <c r="K12" s="112">
        <v>850</v>
      </c>
      <c r="L12" s="112"/>
      <c r="M12" s="112"/>
      <c r="N12" s="112"/>
      <c r="O12" s="112"/>
      <c r="P12" s="3"/>
      <c r="Q12" s="8">
        <f t="shared" si="0"/>
        <v>103870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/>
      <c r="C13" s="108"/>
      <c r="D13" s="109"/>
      <c r="E13" s="109"/>
      <c r="F13" s="110"/>
      <c r="G13" s="3"/>
      <c r="H13" s="111">
        <v>122.2</v>
      </c>
      <c r="I13" s="12" t="s">
        <v>51</v>
      </c>
      <c r="J13" s="3"/>
      <c r="K13" s="112"/>
      <c r="L13" s="112"/>
      <c r="M13" s="112"/>
      <c r="N13" s="112"/>
      <c r="O13" s="112"/>
      <c r="P13" s="3"/>
      <c r="Q13" s="8">
        <f t="shared" ref="Q13:Q16" si="1">K13*$H13</f>
        <v>0</v>
      </c>
      <c r="R13" s="8">
        <f t="shared" ref="R13:R16" si="2">L13*$H13</f>
        <v>0</v>
      </c>
      <c r="S13" s="8">
        <f t="shared" ref="S13:S16" si="3">M13*$H13</f>
        <v>0</v>
      </c>
      <c r="T13" s="8">
        <f t="shared" ref="T13:T16" si="4">N13*$H13</f>
        <v>0</v>
      </c>
      <c r="U13" s="8">
        <f t="shared" ref="U13:U16" si="5">O13*$H13</f>
        <v>0</v>
      </c>
      <c r="Z13"/>
    </row>
    <row r="14" spans="1:26" s="100" customFormat="1" ht="12.75" customHeight="1" x14ac:dyDescent="0.25">
      <c r="A14" s="7"/>
      <c r="C14" s="108"/>
      <c r="D14" s="109"/>
      <c r="E14" s="109"/>
      <c r="F14" s="110"/>
      <c r="G14" s="3"/>
      <c r="H14" s="111">
        <v>122.2</v>
      </c>
      <c r="I14" s="12" t="s">
        <v>51</v>
      </c>
      <c r="J14" s="3"/>
      <c r="K14" s="112"/>
      <c r="L14" s="112"/>
      <c r="M14" s="112"/>
      <c r="N14" s="112"/>
      <c r="O14" s="112"/>
      <c r="P14" s="3"/>
      <c r="Q14" s="8">
        <f t="shared" si="1"/>
        <v>0</v>
      </c>
      <c r="R14" s="8">
        <f t="shared" si="2"/>
        <v>0</v>
      </c>
      <c r="S14" s="8">
        <f t="shared" si="3"/>
        <v>0</v>
      </c>
      <c r="T14" s="8">
        <f t="shared" si="4"/>
        <v>0</v>
      </c>
      <c r="U14" s="8">
        <f t="shared" si="5"/>
        <v>0</v>
      </c>
      <c r="Z14"/>
    </row>
    <row r="15" spans="1:26" s="100" customFormat="1" ht="12.75" customHeight="1" x14ac:dyDescent="0.25">
      <c r="A15" s="7"/>
      <c r="C15" s="108"/>
      <c r="D15" s="109"/>
      <c r="E15" s="109"/>
      <c r="F15" s="110"/>
      <c r="G15" s="3"/>
      <c r="H15" s="111">
        <v>122.2</v>
      </c>
      <c r="I15" s="12" t="s">
        <v>51</v>
      </c>
      <c r="J15" s="3"/>
      <c r="K15" s="112"/>
      <c r="L15" s="112"/>
      <c r="M15" s="112"/>
      <c r="N15" s="112"/>
      <c r="O15" s="112"/>
      <c r="P15" s="3"/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U15" s="8">
        <f t="shared" si="5"/>
        <v>0</v>
      </c>
      <c r="Z15"/>
    </row>
    <row r="16" spans="1:26" ht="12.75" customHeight="1" x14ac:dyDescent="0.25">
      <c r="A16" s="7"/>
      <c r="C16" s="108"/>
      <c r="D16" s="109"/>
      <c r="E16" s="109"/>
      <c r="F16" s="110"/>
      <c r="G16" s="3"/>
      <c r="H16" s="111">
        <v>122.2</v>
      </c>
      <c r="I16" s="12" t="s">
        <v>51</v>
      </c>
      <c r="J16" s="3"/>
      <c r="K16" s="112"/>
      <c r="L16" s="112"/>
      <c r="M16" s="112"/>
      <c r="N16" s="112"/>
      <c r="O16" s="112"/>
      <c r="P16" s="3"/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U16" s="8">
        <f t="shared" si="5"/>
        <v>0</v>
      </c>
      <c r="Z16"/>
    </row>
    <row r="17" spans="1:27" ht="12.75" customHeight="1" x14ac:dyDescent="0.25">
      <c r="A17" s="7"/>
      <c r="C17" s="108"/>
      <c r="D17" s="109"/>
      <c r="E17" s="109"/>
      <c r="F17" s="110"/>
      <c r="G17" s="3"/>
      <c r="H17" s="111">
        <v>122.2</v>
      </c>
      <c r="I17" s="12" t="s">
        <v>51</v>
      </c>
      <c r="J17" s="3"/>
      <c r="K17" s="114"/>
      <c r="L17" s="114"/>
      <c r="M17" s="114"/>
      <c r="N17" s="112"/>
      <c r="O17" s="114"/>
      <c r="P17" s="3"/>
      <c r="Q17" s="8">
        <f t="shared" ref="Q17:U18" si="6">K17*$H17</f>
        <v>0</v>
      </c>
      <c r="R17" s="8">
        <f t="shared" si="6"/>
        <v>0</v>
      </c>
      <c r="S17" s="8">
        <f t="shared" si="6"/>
        <v>0</v>
      </c>
      <c r="T17" s="8">
        <f t="shared" si="6"/>
        <v>0</v>
      </c>
      <c r="U17" s="8">
        <f t="shared" si="6"/>
        <v>0</v>
      </c>
      <c r="Z17"/>
    </row>
    <row r="18" spans="1:27" ht="12.75" customHeight="1" x14ac:dyDescent="0.25">
      <c r="A18" s="7"/>
      <c r="C18" s="115"/>
      <c r="D18" s="109"/>
      <c r="E18" s="109"/>
      <c r="F18" s="110"/>
      <c r="G18" s="3"/>
      <c r="H18" s="111"/>
      <c r="I18" s="12" t="s">
        <v>51</v>
      </c>
      <c r="J18" s="3"/>
      <c r="K18" s="113"/>
      <c r="L18" s="114"/>
      <c r="M18" s="113"/>
      <c r="N18" s="114"/>
      <c r="O18" s="113"/>
      <c r="P18" s="3"/>
      <c r="Q18" s="8">
        <f t="shared" si="6"/>
        <v>0</v>
      </c>
      <c r="R18" s="8">
        <f t="shared" si="6"/>
        <v>0</v>
      </c>
      <c r="S18" s="8">
        <f t="shared" si="6"/>
        <v>0</v>
      </c>
      <c r="T18" s="8">
        <f t="shared" si="6"/>
        <v>0</v>
      </c>
      <c r="U18" s="8">
        <f t="shared" si="6"/>
        <v>0</v>
      </c>
      <c r="Z18"/>
    </row>
    <row r="19" spans="1:27" ht="12.75" customHeight="1" x14ac:dyDescent="0.25">
      <c r="A19" s="7"/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Z19"/>
    </row>
    <row r="20" spans="1:27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Z20"/>
    </row>
    <row r="21" spans="1:27" ht="12.75" customHeight="1" x14ac:dyDescent="0.25">
      <c r="A21" s="7"/>
      <c r="C21" s="108" t="s">
        <v>59</v>
      </c>
      <c r="D21" s="109" t="s">
        <v>53</v>
      </c>
      <c r="E21" s="109" t="s">
        <v>5</v>
      </c>
      <c r="F21" s="110" t="s">
        <v>1</v>
      </c>
      <c r="G21" s="3"/>
      <c r="H21" s="112">
        <v>1750000</v>
      </c>
      <c r="I21" s="12" t="s">
        <v>52</v>
      </c>
      <c r="J21" s="3"/>
      <c r="K21" s="113">
        <v>1</v>
      </c>
      <c r="L21" s="114"/>
      <c r="M21" s="113"/>
      <c r="N21" s="114"/>
      <c r="O21" s="113"/>
      <c r="P21" s="3"/>
      <c r="Q21" s="8">
        <f t="shared" ref="Q21:Q26" si="7">K21*$H21</f>
        <v>1750000</v>
      </c>
      <c r="R21" s="8">
        <f t="shared" ref="R21:R26" si="8">L21*$H21</f>
        <v>0</v>
      </c>
      <c r="S21" s="8">
        <f t="shared" ref="S21:S26" si="9">M21*$H21</f>
        <v>0</v>
      </c>
      <c r="T21" s="8">
        <f t="shared" ref="T21:T26" si="10">N21*$H21</f>
        <v>0</v>
      </c>
      <c r="U21" s="8">
        <f t="shared" ref="U21:U26" si="11">O21*$H21</f>
        <v>0</v>
      </c>
      <c r="Z21"/>
    </row>
    <row r="22" spans="1:27" s="100" customFormat="1" ht="12.75" customHeight="1" x14ac:dyDescent="0.25">
      <c r="A22" s="7"/>
      <c r="C22" s="108" t="s">
        <v>60</v>
      </c>
      <c r="D22" s="109" t="s">
        <v>53</v>
      </c>
      <c r="E22" s="109" t="s">
        <v>5</v>
      </c>
      <c r="F22" s="110" t="s">
        <v>1</v>
      </c>
      <c r="G22" s="3"/>
      <c r="H22" s="112">
        <v>350000</v>
      </c>
      <c r="I22" s="12" t="s">
        <v>52</v>
      </c>
      <c r="J22" s="3"/>
      <c r="K22" s="113"/>
      <c r="L22" s="114"/>
      <c r="M22" s="113">
        <v>1</v>
      </c>
      <c r="N22" s="114"/>
      <c r="O22" s="113"/>
      <c r="P22" s="3"/>
      <c r="Q22" s="8">
        <f>K22*$H22</f>
        <v>0</v>
      </c>
      <c r="R22" s="8">
        <f>L22*$H22</f>
        <v>0</v>
      </c>
      <c r="S22" s="8">
        <f>M22*$H22</f>
        <v>350000</v>
      </c>
      <c r="T22" s="8">
        <f>N22*$H22</f>
        <v>0</v>
      </c>
      <c r="U22" s="8">
        <f>O22*$H22</f>
        <v>0</v>
      </c>
      <c r="Z22"/>
    </row>
    <row r="23" spans="1:27" s="100" customFormat="1" ht="12.75" customHeight="1" x14ac:dyDescent="0.25">
      <c r="A23" s="7"/>
      <c r="C23" s="135" t="s">
        <v>102</v>
      </c>
      <c r="D23" s="109" t="s">
        <v>49</v>
      </c>
      <c r="E23" s="109" t="s">
        <v>5</v>
      </c>
      <c r="F23" s="110" t="s">
        <v>1</v>
      </c>
      <c r="G23" s="3"/>
      <c r="H23" s="112">
        <v>350000</v>
      </c>
      <c r="I23" s="12" t="s">
        <v>52</v>
      </c>
      <c r="J23" s="3"/>
      <c r="K23" s="113">
        <v>1</v>
      </c>
      <c r="L23" s="114"/>
      <c r="M23" s="113"/>
      <c r="N23" s="114"/>
      <c r="O23" s="113"/>
      <c r="P23" s="3"/>
      <c r="Q23" s="8">
        <f t="shared" ref="Q23:Q25" si="12">K23*$H23</f>
        <v>350000</v>
      </c>
      <c r="R23" s="8">
        <f t="shared" ref="R23:R25" si="13">L23*$H23</f>
        <v>0</v>
      </c>
      <c r="S23" s="8">
        <f t="shared" ref="S23:S25" si="14">M23*$H23</f>
        <v>0</v>
      </c>
      <c r="T23" s="8">
        <f t="shared" ref="T23:T25" si="15">N23*$H23</f>
        <v>0</v>
      </c>
      <c r="U23" s="8">
        <f t="shared" ref="U23:U25" si="16">O23*$H23</f>
        <v>0</v>
      </c>
      <c r="Z23"/>
    </row>
    <row r="24" spans="1:27" s="100" customFormat="1" ht="12.75" customHeight="1" x14ac:dyDescent="0.25">
      <c r="A24" s="7"/>
      <c r="C24" s="108"/>
      <c r="D24" s="109"/>
      <c r="E24" s="109"/>
      <c r="F24" s="110"/>
      <c r="G24" s="3"/>
      <c r="H24" s="112"/>
      <c r="I24" s="12" t="s">
        <v>52</v>
      </c>
      <c r="J24" s="3"/>
      <c r="K24" s="113"/>
      <c r="L24" s="114"/>
      <c r="M24" s="113"/>
      <c r="N24" s="114"/>
      <c r="O24" s="113"/>
      <c r="P24" s="3"/>
      <c r="Q24" s="8">
        <f t="shared" si="12"/>
        <v>0</v>
      </c>
      <c r="R24" s="8">
        <f t="shared" si="13"/>
        <v>0</v>
      </c>
      <c r="S24" s="8">
        <f t="shared" si="14"/>
        <v>0</v>
      </c>
      <c r="T24" s="8">
        <f t="shared" si="15"/>
        <v>0</v>
      </c>
      <c r="U24" s="8">
        <f t="shared" si="16"/>
        <v>0</v>
      </c>
      <c r="Z24"/>
    </row>
    <row r="25" spans="1:27" s="100" customFormat="1" ht="12.75" customHeight="1" x14ac:dyDescent="0.25">
      <c r="A25" s="7"/>
      <c r="C25" s="108"/>
      <c r="D25" s="109"/>
      <c r="E25" s="109"/>
      <c r="F25" s="110"/>
      <c r="G25" s="3"/>
      <c r="H25" s="112"/>
      <c r="I25" s="12" t="s">
        <v>52</v>
      </c>
      <c r="J25" s="3"/>
      <c r="K25" s="113"/>
      <c r="L25" s="114"/>
      <c r="M25" s="113"/>
      <c r="N25" s="114"/>
      <c r="O25" s="113"/>
      <c r="P25" s="3"/>
      <c r="Q25" s="8">
        <f t="shared" si="12"/>
        <v>0</v>
      </c>
      <c r="R25" s="8">
        <f t="shared" si="13"/>
        <v>0</v>
      </c>
      <c r="S25" s="8">
        <f t="shared" si="14"/>
        <v>0</v>
      </c>
      <c r="T25" s="8">
        <f t="shared" si="15"/>
        <v>0</v>
      </c>
      <c r="U25" s="8">
        <f t="shared" si="16"/>
        <v>0</v>
      </c>
      <c r="Z25"/>
    </row>
    <row r="26" spans="1:27" ht="12.75" customHeight="1" x14ac:dyDescent="0.25">
      <c r="A26" s="7"/>
      <c r="C26" s="108"/>
      <c r="D26" s="109"/>
      <c r="E26" s="109"/>
      <c r="F26" s="110"/>
      <c r="G26" s="3"/>
      <c r="H26" s="112"/>
      <c r="I26" s="12" t="s">
        <v>52</v>
      </c>
      <c r="J26" s="3"/>
      <c r="K26" s="113"/>
      <c r="L26" s="114"/>
      <c r="M26" s="113"/>
      <c r="N26" s="114"/>
      <c r="O26" s="113"/>
      <c r="P26" s="3"/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Z26"/>
    </row>
    <row r="27" spans="1:27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7" ht="12.75" customHeight="1" x14ac:dyDescent="0.2">
      <c r="A29" s="7"/>
      <c r="C29" s="108" t="s">
        <v>59</v>
      </c>
      <c r="D29" s="109" t="s">
        <v>53</v>
      </c>
      <c r="E29" s="109" t="s">
        <v>5</v>
      </c>
      <c r="F29" s="110" t="s">
        <v>4</v>
      </c>
      <c r="G29" s="100"/>
      <c r="H29" s="6"/>
      <c r="I29" s="13" t="s">
        <v>42</v>
      </c>
      <c r="J29" s="100"/>
      <c r="K29" s="112">
        <v>2750000</v>
      </c>
      <c r="L29" s="112"/>
      <c r="M29" s="112"/>
      <c r="N29" s="112"/>
      <c r="O29" s="112"/>
      <c r="Q29" s="8">
        <f t="shared" ref="Q29" si="17">K29</f>
        <v>2750000</v>
      </c>
      <c r="R29" s="8">
        <f t="shared" ref="R29" si="18">L29</f>
        <v>0</v>
      </c>
      <c r="S29" s="8">
        <f t="shared" ref="S29" si="19">M29</f>
        <v>0</v>
      </c>
      <c r="T29" s="8">
        <f t="shared" ref="T29" si="20">N29</f>
        <v>0</v>
      </c>
      <c r="U29" s="8">
        <f t="shared" ref="U29" si="21">O29</f>
        <v>0</v>
      </c>
    </row>
    <row r="30" spans="1:27" s="100" customFormat="1" ht="12.75" customHeight="1" x14ac:dyDescent="0.2">
      <c r="A30" s="7"/>
      <c r="C30" s="108" t="s">
        <v>61</v>
      </c>
      <c r="D30" s="109" t="s">
        <v>53</v>
      </c>
      <c r="E30" s="109" t="s">
        <v>5</v>
      </c>
      <c r="F30" s="110" t="s">
        <v>4</v>
      </c>
      <c r="H30" s="6"/>
      <c r="I30" s="13" t="s">
        <v>42</v>
      </c>
      <c r="K30" s="112"/>
      <c r="L30" s="112"/>
      <c r="M30" s="112">
        <v>500000</v>
      </c>
      <c r="N30" s="112"/>
      <c r="O30" s="112">
        <v>500000</v>
      </c>
      <c r="Q30" s="8">
        <f t="shared" ref="Q30:Q33" si="22">K30</f>
        <v>0</v>
      </c>
      <c r="R30" s="8">
        <f t="shared" ref="R30:R33" si="23">L30</f>
        <v>0</v>
      </c>
      <c r="S30" s="8">
        <f t="shared" ref="S30:S33" si="24">M30</f>
        <v>500000</v>
      </c>
      <c r="T30" s="8">
        <f t="shared" ref="T30:T33" si="25">N30</f>
        <v>0</v>
      </c>
      <c r="U30" s="8">
        <f t="shared" ref="U30:U33" si="26">O30</f>
        <v>500000</v>
      </c>
    </row>
    <row r="31" spans="1:27" s="100" customFormat="1" ht="12.75" customHeight="1" x14ac:dyDescent="0.2">
      <c r="A31" s="7"/>
      <c r="C31" s="108" t="s">
        <v>60</v>
      </c>
      <c r="D31" s="109" t="s">
        <v>53</v>
      </c>
      <c r="E31" s="109" t="s">
        <v>5</v>
      </c>
      <c r="F31" s="110" t="s">
        <v>4</v>
      </c>
      <c r="H31" s="6"/>
      <c r="I31" s="13" t="s">
        <v>42</v>
      </c>
      <c r="K31" s="112"/>
      <c r="L31" s="112"/>
      <c r="M31" s="112">
        <v>550000</v>
      </c>
      <c r="N31" s="112"/>
      <c r="O31" s="112"/>
      <c r="Q31" s="8">
        <f t="shared" si="22"/>
        <v>0</v>
      </c>
      <c r="R31" s="8">
        <f t="shared" si="23"/>
        <v>0</v>
      </c>
      <c r="S31" s="8">
        <f t="shared" si="24"/>
        <v>550000</v>
      </c>
      <c r="T31" s="8">
        <f t="shared" si="25"/>
        <v>0</v>
      </c>
      <c r="U31" s="8">
        <f t="shared" si="26"/>
        <v>0</v>
      </c>
    </row>
    <row r="32" spans="1:27" ht="12.75" customHeight="1" x14ac:dyDescent="0.2">
      <c r="A32" s="7"/>
      <c r="C32" s="135" t="s">
        <v>102</v>
      </c>
      <c r="D32" s="109" t="s">
        <v>49</v>
      </c>
      <c r="E32" s="109" t="s">
        <v>5</v>
      </c>
      <c r="F32" s="110" t="s">
        <v>4</v>
      </c>
      <c r="G32" s="100"/>
      <c r="H32" s="6"/>
      <c r="I32" s="13" t="s">
        <v>42</v>
      </c>
      <c r="J32" s="100"/>
      <c r="K32" s="112">
        <v>550000</v>
      </c>
      <c r="L32" s="112"/>
      <c r="M32" s="112"/>
      <c r="N32" s="112"/>
      <c r="O32" s="112"/>
      <c r="Q32" s="8">
        <f t="shared" si="22"/>
        <v>550000</v>
      </c>
      <c r="R32" s="8">
        <f t="shared" si="23"/>
        <v>0</v>
      </c>
      <c r="S32" s="8">
        <f t="shared" si="24"/>
        <v>0</v>
      </c>
      <c r="T32" s="8">
        <f t="shared" si="25"/>
        <v>0</v>
      </c>
      <c r="U32" s="8">
        <f t="shared" si="26"/>
        <v>0</v>
      </c>
    </row>
    <row r="33" spans="1:28" s="100" customFormat="1" ht="12.75" customHeight="1" x14ac:dyDescent="0.2">
      <c r="A33" s="7"/>
      <c r="C33" s="108"/>
      <c r="D33" s="109"/>
      <c r="E33" s="109"/>
      <c r="F33" s="110"/>
      <c r="H33" s="6"/>
      <c r="I33" s="13" t="s">
        <v>42</v>
      </c>
      <c r="K33" s="112"/>
      <c r="L33" s="112"/>
      <c r="M33" s="112"/>
      <c r="N33" s="112"/>
      <c r="O33" s="112"/>
      <c r="Q33" s="8">
        <f t="shared" si="22"/>
        <v>0</v>
      </c>
      <c r="R33" s="8">
        <f t="shared" si="23"/>
        <v>0</v>
      </c>
      <c r="S33" s="8">
        <f t="shared" si="24"/>
        <v>0</v>
      </c>
      <c r="T33" s="8">
        <f t="shared" si="25"/>
        <v>0</v>
      </c>
      <c r="U33" s="8">
        <f t="shared" si="26"/>
        <v>0</v>
      </c>
    </row>
    <row r="34" spans="1:28" s="100" customFormat="1" ht="12.75" customHeight="1" x14ac:dyDescent="0.2">
      <c r="A34" s="7"/>
      <c r="C34" s="108"/>
      <c r="D34" s="109"/>
      <c r="E34" s="109"/>
      <c r="F34" s="110"/>
      <c r="H34" s="6"/>
      <c r="I34" s="13" t="s">
        <v>42</v>
      </c>
      <c r="K34" s="112"/>
      <c r="L34" s="112"/>
      <c r="M34" s="112"/>
      <c r="N34" s="112"/>
      <c r="O34" s="112"/>
      <c r="Q34" s="8">
        <f t="shared" ref="Q34:Q38" si="27">K34</f>
        <v>0</v>
      </c>
      <c r="R34" s="8">
        <f t="shared" ref="R34:R38" si="28">L34</f>
        <v>0</v>
      </c>
      <c r="S34" s="8">
        <f t="shared" ref="S34:S38" si="29">M34</f>
        <v>0</v>
      </c>
      <c r="T34" s="8">
        <f t="shared" ref="T34:T38" si="30">N34</f>
        <v>0</v>
      </c>
      <c r="U34" s="8">
        <f t="shared" ref="U34:U38" si="31">O34</f>
        <v>0</v>
      </c>
    </row>
    <row r="35" spans="1:28" s="100" customFormat="1" ht="12.75" customHeight="1" x14ac:dyDescent="0.2">
      <c r="A35" s="7"/>
      <c r="C35" s="108"/>
      <c r="D35" s="109"/>
      <c r="E35" s="109"/>
      <c r="F35" s="110"/>
      <c r="H35" s="6"/>
      <c r="I35" s="13" t="s">
        <v>42</v>
      </c>
      <c r="K35" s="112"/>
      <c r="L35" s="112"/>
      <c r="M35" s="112"/>
      <c r="N35" s="112"/>
      <c r="O35" s="112"/>
      <c r="Q35" s="8">
        <f t="shared" si="27"/>
        <v>0</v>
      </c>
      <c r="R35" s="8">
        <f t="shared" si="28"/>
        <v>0</v>
      </c>
      <c r="S35" s="8">
        <f t="shared" si="29"/>
        <v>0</v>
      </c>
      <c r="T35" s="8">
        <f t="shared" si="30"/>
        <v>0</v>
      </c>
      <c r="U35" s="8">
        <f t="shared" si="31"/>
        <v>0</v>
      </c>
    </row>
    <row r="36" spans="1:28" s="100" customFormat="1" ht="12.75" customHeight="1" x14ac:dyDescent="0.2">
      <c r="A36" s="7"/>
      <c r="C36" s="108"/>
      <c r="D36" s="109"/>
      <c r="E36" s="109"/>
      <c r="F36" s="110"/>
      <c r="H36" s="6"/>
      <c r="I36" s="13" t="s">
        <v>42</v>
      </c>
      <c r="K36" s="112"/>
      <c r="L36" s="112"/>
      <c r="M36" s="112"/>
      <c r="N36" s="112"/>
      <c r="O36" s="112"/>
      <c r="Q36" s="8">
        <f t="shared" si="27"/>
        <v>0</v>
      </c>
      <c r="R36" s="8">
        <f t="shared" si="28"/>
        <v>0</v>
      </c>
      <c r="S36" s="8">
        <f t="shared" si="29"/>
        <v>0</v>
      </c>
      <c r="T36" s="8">
        <f t="shared" si="30"/>
        <v>0</v>
      </c>
      <c r="U36" s="8">
        <f t="shared" si="31"/>
        <v>0</v>
      </c>
    </row>
    <row r="37" spans="1:28" s="100" customFormat="1" ht="12.75" customHeight="1" x14ac:dyDescent="0.2">
      <c r="A37" s="7"/>
      <c r="C37" s="108"/>
      <c r="D37" s="109"/>
      <c r="E37" s="109"/>
      <c r="F37" s="110"/>
      <c r="H37" s="6"/>
      <c r="I37" s="13" t="s">
        <v>42</v>
      </c>
      <c r="K37" s="112"/>
      <c r="L37" s="112"/>
      <c r="M37" s="112"/>
      <c r="N37" s="112"/>
      <c r="O37" s="112"/>
      <c r="Q37" s="8">
        <f t="shared" si="27"/>
        <v>0</v>
      </c>
      <c r="R37" s="8">
        <f t="shared" si="28"/>
        <v>0</v>
      </c>
      <c r="S37" s="8">
        <f t="shared" si="29"/>
        <v>0</v>
      </c>
      <c r="T37" s="8">
        <f t="shared" si="30"/>
        <v>0</v>
      </c>
      <c r="U37" s="8">
        <f t="shared" si="31"/>
        <v>0</v>
      </c>
    </row>
    <row r="38" spans="1:28" s="100" customFormat="1" ht="12.75" customHeight="1" x14ac:dyDescent="0.2">
      <c r="A38" s="7"/>
      <c r="C38" s="108"/>
      <c r="D38" s="109"/>
      <c r="E38" s="109"/>
      <c r="F38" s="110"/>
      <c r="H38" s="6"/>
      <c r="I38" s="13" t="s">
        <v>42</v>
      </c>
      <c r="K38" s="112"/>
      <c r="L38" s="112"/>
      <c r="M38" s="112"/>
      <c r="N38" s="112"/>
      <c r="O38" s="112"/>
      <c r="Q38" s="8">
        <f t="shared" si="27"/>
        <v>0</v>
      </c>
      <c r="R38" s="8">
        <f t="shared" si="28"/>
        <v>0</v>
      </c>
      <c r="S38" s="8">
        <f t="shared" si="29"/>
        <v>0</v>
      </c>
      <c r="T38" s="8">
        <f t="shared" si="30"/>
        <v>0</v>
      </c>
      <c r="U38" s="8">
        <f t="shared" si="31"/>
        <v>0</v>
      </c>
    </row>
    <row r="39" spans="1:28" ht="12.75" customHeight="1" x14ac:dyDescent="0.2">
      <c r="A39" s="7"/>
      <c r="B39" s="100"/>
      <c r="C39" s="108"/>
      <c r="D39" s="109"/>
      <c r="E39" s="109"/>
      <c r="F39" s="110"/>
      <c r="G39" s="100"/>
      <c r="H39" s="6"/>
      <c r="I39" s="13" t="s">
        <v>42</v>
      </c>
      <c r="J39" s="100"/>
      <c r="K39" s="112"/>
      <c r="L39" s="112"/>
      <c r="M39" s="112"/>
      <c r="N39" s="112"/>
      <c r="O39" s="112"/>
      <c r="P39" s="100"/>
      <c r="Q39" s="8">
        <f t="shared" ref="Q39" si="32">K39</f>
        <v>0</v>
      </c>
      <c r="R39" s="8">
        <f t="shared" ref="R39" si="33">L39</f>
        <v>0</v>
      </c>
      <c r="S39" s="8">
        <f t="shared" ref="S39" si="34">M39</f>
        <v>0</v>
      </c>
      <c r="T39" s="8">
        <f t="shared" ref="T39" si="35">N39</f>
        <v>0</v>
      </c>
      <c r="U39" s="8">
        <f t="shared" ref="U39" si="36">O39</f>
        <v>0</v>
      </c>
    </row>
    <row r="40" spans="1:28" ht="12.75" customHeight="1" x14ac:dyDescent="0.25">
      <c r="G40" s="3"/>
      <c r="J40" s="3"/>
      <c r="P40" s="3"/>
      <c r="Z40"/>
    </row>
    <row r="41" spans="1:28" ht="12.75" customHeight="1" x14ac:dyDescent="0.25">
      <c r="G41" s="3"/>
      <c r="J41" s="3"/>
      <c r="P41" s="3"/>
      <c r="Z41"/>
    </row>
    <row r="42" spans="1:28" ht="12.75" customHeight="1" x14ac:dyDescent="0.25">
      <c r="C42" s="5" t="s">
        <v>13</v>
      </c>
      <c r="D42" s="7"/>
      <c r="G42" s="3"/>
      <c r="J42" s="3"/>
      <c r="P42" s="3"/>
      <c r="Z42"/>
    </row>
    <row r="43" spans="1:28" ht="12.75" customHeight="1" x14ac:dyDescent="0.2">
      <c r="C43" s="28" t="s">
        <v>2</v>
      </c>
      <c r="D43" s="28"/>
      <c r="E43" s="28" t="s">
        <v>5</v>
      </c>
      <c r="F43" s="28"/>
      <c r="G43" s="3"/>
      <c r="H43" s="28"/>
      <c r="I43" s="29"/>
      <c r="J43" s="3"/>
      <c r="K43" s="28"/>
      <c r="L43" s="28"/>
      <c r="M43" s="28"/>
      <c r="N43" s="28"/>
      <c r="O43" s="28"/>
      <c r="P43" s="3"/>
      <c r="Q43" s="30">
        <f t="shared" ref="Q43:U48" si="37">SUMIFS(Q$10:Q$39,$F$10:$F$39,$C43,$E$10:$E$39,$E43)</f>
        <v>603870</v>
      </c>
      <c r="R43" s="30">
        <f t="shared" si="37"/>
        <v>0</v>
      </c>
      <c r="S43" s="30">
        <f t="shared" si="37"/>
        <v>100000</v>
      </c>
      <c r="T43" s="30">
        <f t="shared" si="37"/>
        <v>0</v>
      </c>
      <c r="U43" s="30">
        <f t="shared" si="37"/>
        <v>0</v>
      </c>
      <c r="X43" s="153"/>
      <c r="Y43" s="153"/>
      <c r="Z43" s="153"/>
      <c r="AA43" s="153"/>
      <c r="AB43" s="153"/>
    </row>
    <row r="44" spans="1:28" ht="12.75" customHeight="1" x14ac:dyDescent="0.2">
      <c r="C44" s="4" t="s">
        <v>1</v>
      </c>
      <c r="D44" s="4"/>
      <c r="E44" s="4" t="s">
        <v>5</v>
      </c>
      <c r="F44" s="4"/>
      <c r="G44" s="3"/>
      <c r="H44" s="4"/>
      <c r="I44" s="13"/>
      <c r="J44" s="3"/>
      <c r="K44" s="4"/>
      <c r="L44" s="4"/>
      <c r="M44" s="4"/>
      <c r="N44" s="4"/>
      <c r="O44" s="4"/>
      <c r="P44" s="3"/>
      <c r="Q44" s="9">
        <f t="shared" si="37"/>
        <v>2100000</v>
      </c>
      <c r="R44" s="9">
        <f t="shared" si="37"/>
        <v>0</v>
      </c>
      <c r="S44" s="9">
        <f t="shared" si="37"/>
        <v>350000</v>
      </c>
      <c r="T44" s="9">
        <f t="shared" si="37"/>
        <v>0</v>
      </c>
      <c r="U44" s="9">
        <f t="shared" si="37"/>
        <v>0</v>
      </c>
      <c r="X44" s="153"/>
      <c r="Y44" s="153"/>
      <c r="Z44" s="153"/>
      <c r="AA44" s="153"/>
      <c r="AB44" s="153"/>
    </row>
    <row r="45" spans="1:28" ht="12.75" customHeight="1" x14ac:dyDescent="0.2">
      <c r="C45" s="4" t="s">
        <v>4</v>
      </c>
      <c r="D45" s="4"/>
      <c r="E45" s="4" t="s">
        <v>5</v>
      </c>
      <c r="F45" s="4"/>
      <c r="G45" s="3"/>
      <c r="H45" s="4"/>
      <c r="I45" s="13"/>
      <c r="J45" s="3"/>
      <c r="K45" s="4"/>
      <c r="L45" s="4"/>
      <c r="M45" s="4"/>
      <c r="N45" s="4"/>
      <c r="O45" s="4"/>
      <c r="P45" s="3"/>
      <c r="Q45" s="9">
        <f t="shared" si="37"/>
        <v>3300000</v>
      </c>
      <c r="R45" s="9">
        <f t="shared" si="37"/>
        <v>0</v>
      </c>
      <c r="S45" s="9">
        <f t="shared" si="37"/>
        <v>1050000</v>
      </c>
      <c r="T45" s="9">
        <f t="shared" si="37"/>
        <v>0</v>
      </c>
      <c r="U45" s="9">
        <f t="shared" si="37"/>
        <v>500000</v>
      </c>
      <c r="X45" s="153"/>
      <c r="Y45" s="153"/>
      <c r="Z45" s="153"/>
      <c r="AA45" s="153"/>
      <c r="AB45" s="153"/>
    </row>
    <row r="46" spans="1:28" ht="12.75" customHeight="1" x14ac:dyDescent="0.2">
      <c r="C46" s="4" t="s">
        <v>2</v>
      </c>
      <c r="D46" s="4"/>
      <c r="E46" s="4" t="s">
        <v>41</v>
      </c>
      <c r="F46" s="4"/>
      <c r="G46" s="3"/>
      <c r="H46" s="4"/>
      <c r="I46" s="13"/>
      <c r="J46" s="3"/>
      <c r="K46" s="4"/>
      <c r="L46" s="4"/>
      <c r="M46" s="4"/>
      <c r="N46" s="4"/>
      <c r="O46" s="4"/>
      <c r="P46" s="3"/>
      <c r="Q46" s="9">
        <f t="shared" si="37"/>
        <v>0</v>
      </c>
      <c r="R46" s="9">
        <f t="shared" si="37"/>
        <v>0</v>
      </c>
      <c r="S46" s="9">
        <f t="shared" si="37"/>
        <v>0</v>
      </c>
      <c r="T46" s="9">
        <f t="shared" si="37"/>
        <v>0</v>
      </c>
      <c r="U46" s="9">
        <f t="shared" si="37"/>
        <v>0</v>
      </c>
      <c r="X46" s="153"/>
      <c r="Y46" s="153"/>
      <c r="Z46" s="153"/>
      <c r="AA46" s="153"/>
      <c r="AB46" s="153"/>
    </row>
    <row r="47" spans="1:28" ht="12.75" customHeight="1" x14ac:dyDescent="0.2">
      <c r="C47" s="4" t="s">
        <v>1</v>
      </c>
      <c r="D47" s="4"/>
      <c r="E47" s="4" t="s">
        <v>41</v>
      </c>
      <c r="F47" s="4"/>
      <c r="G47" s="3"/>
      <c r="H47" s="4"/>
      <c r="I47" s="13"/>
      <c r="J47" s="3"/>
      <c r="K47" s="4"/>
      <c r="L47" s="4"/>
      <c r="M47" s="4"/>
      <c r="N47" s="4"/>
      <c r="O47" s="4"/>
      <c r="P47" s="3"/>
      <c r="Q47" s="9">
        <f t="shared" si="37"/>
        <v>0</v>
      </c>
      <c r="R47" s="9">
        <f t="shared" si="37"/>
        <v>0</v>
      </c>
      <c r="S47" s="9">
        <f t="shared" si="37"/>
        <v>0</v>
      </c>
      <c r="T47" s="9">
        <f t="shared" si="37"/>
        <v>0</v>
      </c>
      <c r="U47" s="9">
        <f t="shared" si="37"/>
        <v>0</v>
      </c>
      <c r="X47" s="153"/>
      <c r="Y47" s="153"/>
      <c r="Z47" s="153"/>
      <c r="AA47" s="153"/>
      <c r="AB47" s="153"/>
    </row>
    <row r="48" spans="1:28" ht="12.75" customHeight="1" x14ac:dyDescent="0.2">
      <c r="C48" s="4" t="s">
        <v>4</v>
      </c>
      <c r="D48" s="4"/>
      <c r="E48" s="4" t="s">
        <v>41</v>
      </c>
      <c r="F48" s="7"/>
      <c r="G48" s="3"/>
      <c r="H48" s="7"/>
      <c r="I48" s="31"/>
      <c r="J48" s="3"/>
      <c r="K48" s="7"/>
      <c r="L48" s="7"/>
      <c r="M48" s="7"/>
      <c r="N48" s="7"/>
      <c r="O48" s="7"/>
      <c r="P48" s="3"/>
      <c r="Q48" s="9">
        <f t="shared" si="37"/>
        <v>0</v>
      </c>
      <c r="R48" s="9">
        <f t="shared" si="37"/>
        <v>0</v>
      </c>
      <c r="S48" s="9">
        <f t="shared" si="37"/>
        <v>0</v>
      </c>
      <c r="T48" s="9">
        <f t="shared" si="37"/>
        <v>0</v>
      </c>
      <c r="U48" s="9">
        <f t="shared" si="37"/>
        <v>0</v>
      </c>
      <c r="X48" s="153"/>
      <c r="Y48" s="153"/>
      <c r="Z48" s="153"/>
      <c r="AA48" s="153"/>
      <c r="AB48" s="153"/>
    </row>
    <row r="49" spans="3:28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3"/>
      <c r="H49" s="10"/>
      <c r="I49" s="14"/>
      <c r="J49" s="3"/>
      <c r="K49" s="10"/>
      <c r="L49" s="10"/>
      <c r="M49" s="10"/>
      <c r="N49" s="10"/>
      <c r="O49" s="10"/>
      <c r="P49" s="3"/>
      <c r="Q49" s="11">
        <f>SUM(Q43:Q48)</f>
        <v>6003870</v>
      </c>
      <c r="R49" s="11">
        <f t="shared" ref="R49:U49" si="38">SUM(R43:R48)</f>
        <v>0</v>
      </c>
      <c r="S49" s="11">
        <f t="shared" si="38"/>
        <v>1500000</v>
      </c>
      <c r="T49" s="11">
        <f t="shared" si="38"/>
        <v>0</v>
      </c>
      <c r="U49" s="11">
        <f t="shared" si="38"/>
        <v>500000</v>
      </c>
      <c r="V49" s="44"/>
      <c r="X49" s="153"/>
      <c r="Y49" s="153"/>
      <c r="Z49" s="153"/>
      <c r="AA49" s="153"/>
      <c r="AB49" s="153"/>
    </row>
    <row r="50" spans="3:28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3"/>
      <c r="H50" s="28"/>
      <c r="I50" s="29"/>
      <c r="J50" s="3"/>
      <c r="K50" s="28"/>
      <c r="L50" s="28"/>
      <c r="M50" s="28"/>
      <c r="N50" s="28"/>
      <c r="O50" s="28"/>
      <c r="P50" s="3"/>
      <c r="Q50" s="45">
        <f>Q49*Assumptions!$B$18</f>
        <v>6358357.7635504445</v>
      </c>
      <c r="R50" s="45">
        <f>R49*Assumptions!$B$18</f>
        <v>0</v>
      </c>
      <c r="S50" s="45">
        <f>S49*Assumptions!$B$18</f>
        <v>1588564.8165809165</v>
      </c>
      <c r="T50" s="45">
        <f>T49*Assumptions!$B$18</f>
        <v>0</v>
      </c>
      <c r="U50" s="45">
        <f>U49*Assumptions!$B$18</f>
        <v>529521.6055269721</v>
      </c>
      <c r="V50" s="44"/>
      <c r="X50" s="153"/>
      <c r="Y50" s="153"/>
      <c r="Z50" s="153"/>
      <c r="AA50" s="153"/>
      <c r="AB50" s="153"/>
    </row>
    <row r="51" spans="3:28" ht="12.75" customHeight="1" x14ac:dyDescent="0.2">
      <c r="C51" s="101" t="s">
        <v>12</v>
      </c>
      <c r="D51" s="101"/>
      <c r="E51" s="101"/>
      <c r="F51" s="101"/>
      <c r="G51" s="3"/>
      <c r="H51" s="101"/>
      <c r="I51" s="101"/>
      <c r="J51" s="3"/>
      <c r="K51" s="101"/>
      <c r="L51" s="101"/>
      <c r="M51" s="101"/>
      <c r="N51" s="101"/>
      <c r="O51" s="101"/>
      <c r="P51" s="3"/>
      <c r="Q51" s="102">
        <f>Q49-SUM(Q10:Q39)</f>
        <v>0</v>
      </c>
      <c r="R51" s="102">
        <f t="shared" ref="R51:U51" si="39">R49-SUM(R10:R39)</f>
        <v>0</v>
      </c>
      <c r="S51" s="102">
        <f t="shared" si="39"/>
        <v>0</v>
      </c>
      <c r="T51" s="102">
        <f t="shared" si="39"/>
        <v>0</v>
      </c>
      <c r="U51" s="102">
        <f t="shared" si="39"/>
        <v>0</v>
      </c>
      <c r="W51" s="102">
        <f>SUM(Q51:U51)</f>
        <v>0</v>
      </c>
    </row>
    <row r="52" spans="3:28" ht="12.75" customHeight="1" x14ac:dyDescent="0.2">
      <c r="G52" s="3"/>
      <c r="J52" s="3"/>
      <c r="P52" s="3"/>
    </row>
    <row r="53" spans="3:28" ht="12.75" customHeight="1" x14ac:dyDescent="0.2">
      <c r="G53" s="3"/>
      <c r="J53" s="3"/>
      <c r="P53" s="3"/>
    </row>
    <row r="54" spans="3:28" ht="12.75" customHeight="1" x14ac:dyDescent="0.2">
      <c r="P54" s="3"/>
    </row>
    <row r="55" spans="3:28" ht="12.75" customHeight="1" x14ac:dyDescent="0.2">
      <c r="C55" s="5" t="s">
        <v>100</v>
      </c>
      <c r="D55" s="7"/>
      <c r="E55" s="100"/>
      <c r="F55" s="100"/>
      <c r="G55" s="3"/>
      <c r="H55" s="100"/>
      <c r="J55" s="3"/>
      <c r="K55" s="100"/>
      <c r="L55" s="100"/>
      <c r="M55" s="100"/>
      <c r="N55" s="100"/>
      <c r="O55" s="100"/>
      <c r="P55" s="3"/>
    </row>
    <row r="56" spans="3:28" s="100" customFormat="1" ht="12.75" customHeight="1" x14ac:dyDescent="0.2">
      <c r="C56" s="28" t="s">
        <v>2</v>
      </c>
      <c r="D56" s="28" t="s">
        <v>0</v>
      </c>
      <c r="E56" s="28" t="s">
        <v>5</v>
      </c>
      <c r="F56" s="28"/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4" si="40">SUMIFS(Q$10:Q$39,$F$10:$F$39,$C56,$E$10:$E$39,$E56,$D$10:$D$39,$D56)*Conv_2021</f>
        <v>0</v>
      </c>
      <c r="R56" s="45">
        <f t="shared" si="40"/>
        <v>0</v>
      </c>
      <c r="S56" s="45">
        <f t="shared" si="40"/>
        <v>0</v>
      </c>
      <c r="T56" s="45">
        <f t="shared" si="40"/>
        <v>0</v>
      </c>
      <c r="U56" s="45">
        <f t="shared" si="40"/>
        <v>0</v>
      </c>
    </row>
    <row r="57" spans="3:28" s="100" customFormat="1" ht="12.75" customHeight="1" x14ac:dyDescent="0.2">
      <c r="C57" s="4" t="s">
        <v>1</v>
      </c>
      <c r="D57" s="4" t="s">
        <v>0</v>
      </c>
      <c r="E57" s="4" t="s">
        <v>5</v>
      </c>
      <c r="F57" s="4"/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40"/>
        <v>0</v>
      </c>
      <c r="R57" s="9">
        <f t="shared" si="40"/>
        <v>0</v>
      </c>
      <c r="S57" s="9">
        <f t="shared" si="40"/>
        <v>0</v>
      </c>
      <c r="T57" s="9">
        <f t="shared" si="40"/>
        <v>0</v>
      </c>
      <c r="U57" s="9">
        <f t="shared" si="40"/>
        <v>0</v>
      </c>
    </row>
    <row r="58" spans="3:28" s="100" customFormat="1" ht="12.75" customHeight="1" x14ac:dyDescent="0.2">
      <c r="C58" s="4" t="s">
        <v>4</v>
      </c>
      <c r="D58" s="4" t="s">
        <v>0</v>
      </c>
      <c r="E58" s="4" t="s">
        <v>5</v>
      </c>
      <c r="F58" s="4"/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40"/>
        <v>0</v>
      </c>
      <c r="R58" s="9">
        <f t="shared" si="40"/>
        <v>0</v>
      </c>
      <c r="S58" s="9">
        <f t="shared" si="40"/>
        <v>0</v>
      </c>
      <c r="T58" s="9">
        <f t="shared" si="40"/>
        <v>0</v>
      </c>
      <c r="U58" s="9">
        <f t="shared" si="40"/>
        <v>0</v>
      </c>
    </row>
    <row r="59" spans="3:28" s="100" customFormat="1" ht="12.75" customHeight="1" x14ac:dyDescent="0.2">
      <c r="C59" s="4" t="s">
        <v>2</v>
      </c>
      <c r="D59" s="4" t="s">
        <v>49</v>
      </c>
      <c r="E59" s="4" t="s">
        <v>5</v>
      </c>
      <c r="F59" s="4"/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40"/>
        <v>110002.81833217319</v>
      </c>
      <c r="R59" s="9">
        <f t="shared" si="40"/>
        <v>0</v>
      </c>
      <c r="S59" s="9">
        <f t="shared" si="40"/>
        <v>0</v>
      </c>
      <c r="T59" s="9">
        <f t="shared" si="40"/>
        <v>0</v>
      </c>
      <c r="U59" s="9">
        <f t="shared" si="40"/>
        <v>0</v>
      </c>
    </row>
    <row r="60" spans="3:28" s="100" customFormat="1" ht="12.75" customHeight="1" x14ac:dyDescent="0.2">
      <c r="C60" s="4" t="s">
        <v>1</v>
      </c>
      <c r="D60" s="4" t="s">
        <v>49</v>
      </c>
      <c r="E60" s="4" t="s">
        <v>5</v>
      </c>
      <c r="F60" s="4"/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40"/>
        <v>370665.1238688805</v>
      </c>
      <c r="R60" s="9">
        <f t="shared" si="40"/>
        <v>0</v>
      </c>
      <c r="S60" s="9">
        <f t="shared" si="40"/>
        <v>0</v>
      </c>
      <c r="T60" s="9">
        <f t="shared" si="40"/>
        <v>0</v>
      </c>
      <c r="U60" s="9">
        <f t="shared" si="40"/>
        <v>0</v>
      </c>
    </row>
    <row r="61" spans="3:28" s="100" customFormat="1" ht="12.75" customHeight="1" x14ac:dyDescent="0.2">
      <c r="C61" s="4" t="s">
        <v>4</v>
      </c>
      <c r="D61" s="4" t="s">
        <v>49</v>
      </c>
      <c r="E61" s="4" t="s">
        <v>5</v>
      </c>
      <c r="F61" s="7"/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40"/>
        <v>582473.76607966935</v>
      </c>
      <c r="R61" s="9">
        <f t="shared" si="40"/>
        <v>0</v>
      </c>
      <c r="S61" s="9">
        <f t="shared" si="40"/>
        <v>0</v>
      </c>
      <c r="T61" s="9">
        <f t="shared" si="40"/>
        <v>0</v>
      </c>
      <c r="U61" s="9">
        <f t="shared" si="40"/>
        <v>0</v>
      </c>
    </row>
    <row r="62" spans="3:28" s="100" customFormat="1" ht="12.75" customHeight="1" x14ac:dyDescent="0.2">
      <c r="C62" s="4" t="s">
        <v>2</v>
      </c>
      <c r="D62" s="4" t="s">
        <v>53</v>
      </c>
      <c r="E62" s="4" t="s">
        <v>5</v>
      </c>
      <c r="F62" s="7"/>
      <c r="G62" s="3"/>
      <c r="H62" s="7"/>
      <c r="I62" s="31"/>
      <c r="J62" s="3"/>
      <c r="K62" s="7"/>
      <c r="L62" s="7"/>
      <c r="M62" s="7"/>
      <c r="N62" s="7"/>
      <c r="O62" s="7"/>
      <c r="P62" s="3"/>
      <c r="Q62" s="9">
        <f t="shared" si="40"/>
        <v>529521.6055269721</v>
      </c>
      <c r="R62" s="9">
        <f t="shared" si="40"/>
        <v>0</v>
      </c>
      <c r="S62" s="9">
        <f t="shared" si="40"/>
        <v>105904.32110539443</v>
      </c>
      <c r="T62" s="9">
        <f t="shared" si="40"/>
        <v>0</v>
      </c>
      <c r="U62" s="9">
        <f t="shared" si="40"/>
        <v>0</v>
      </c>
    </row>
    <row r="63" spans="3:28" s="100" customFormat="1" ht="12.75" customHeight="1" x14ac:dyDescent="0.2">
      <c r="C63" s="4" t="s">
        <v>1</v>
      </c>
      <c r="D63" s="4" t="s">
        <v>53</v>
      </c>
      <c r="E63" s="4" t="s">
        <v>5</v>
      </c>
      <c r="F63" s="7"/>
      <c r="G63" s="3"/>
      <c r="H63" s="7"/>
      <c r="I63" s="31"/>
      <c r="J63" s="3"/>
      <c r="K63" s="7"/>
      <c r="L63" s="7"/>
      <c r="M63" s="7"/>
      <c r="N63" s="7"/>
      <c r="O63" s="7"/>
      <c r="P63" s="3"/>
      <c r="Q63" s="9">
        <f t="shared" si="40"/>
        <v>1853325.6193444026</v>
      </c>
      <c r="R63" s="9">
        <f t="shared" si="40"/>
        <v>0</v>
      </c>
      <c r="S63" s="9">
        <f t="shared" si="40"/>
        <v>370665.1238688805</v>
      </c>
      <c r="T63" s="9">
        <f t="shared" si="40"/>
        <v>0</v>
      </c>
      <c r="U63" s="9">
        <f t="shared" si="40"/>
        <v>0</v>
      </c>
    </row>
    <row r="64" spans="3:28" s="100" customFormat="1" ht="12.75" customHeight="1" x14ac:dyDescent="0.2">
      <c r="C64" s="4" t="s">
        <v>4</v>
      </c>
      <c r="D64" s="4" t="s">
        <v>53</v>
      </c>
      <c r="E64" s="4" t="s">
        <v>5</v>
      </c>
      <c r="F64" s="7"/>
      <c r="G64" s="3"/>
      <c r="H64" s="7"/>
      <c r="I64" s="31"/>
      <c r="J64" s="3"/>
      <c r="K64" s="7"/>
      <c r="L64" s="7"/>
      <c r="M64" s="7"/>
      <c r="N64" s="7"/>
      <c r="O64" s="7"/>
      <c r="P64" s="3"/>
      <c r="Q64" s="9">
        <f t="shared" si="40"/>
        <v>2912368.8303983468</v>
      </c>
      <c r="R64" s="9">
        <f t="shared" si="40"/>
        <v>0</v>
      </c>
      <c r="S64" s="9">
        <f t="shared" si="40"/>
        <v>1111995.3716066414</v>
      </c>
      <c r="T64" s="9">
        <f t="shared" si="40"/>
        <v>0</v>
      </c>
      <c r="U64" s="9">
        <f t="shared" si="40"/>
        <v>529521.6055269721</v>
      </c>
      <c r="W64" s="133"/>
    </row>
    <row r="65" spans="3:26" s="100" customFormat="1" ht="12.75" customHeight="1" x14ac:dyDescent="0.2">
      <c r="C65" s="10" t="s">
        <v>101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P65" s="3"/>
      <c r="Q65" s="11">
        <f>SUM(Q56:Q64)</f>
        <v>6358357.7635504445</v>
      </c>
      <c r="R65" s="11">
        <f t="shared" ref="R65:U65" si="41">SUM(R56:R64)</f>
        <v>0</v>
      </c>
      <c r="S65" s="11">
        <f t="shared" si="41"/>
        <v>1588564.8165809163</v>
      </c>
      <c r="T65" s="11">
        <f t="shared" si="41"/>
        <v>0</v>
      </c>
      <c r="U65" s="11">
        <f t="shared" si="41"/>
        <v>529521.6055269721</v>
      </c>
      <c r="W65" s="133"/>
    </row>
    <row r="66" spans="3:26" s="100" customFormat="1" ht="12.75" customHeight="1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P66" s="3"/>
      <c r="Q66" s="45"/>
      <c r="R66" s="45"/>
      <c r="S66" s="45"/>
      <c r="T66" s="45"/>
      <c r="U66" s="45"/>
      <c r="W66" s="133"/>
    </row>
    <row r="67" spans="3:26" s="100" customFormat="1" ht="12.75" customHeight="1" x14ac:dyDescent="0.2">
      <c r="C67" s="101" t="s">
        <v>12</v>
      </c>
      <c r="D67" s="101"/>
      <c r="E67" s="101"/>
      <c r="F67" s="101"/>
      <c r="G67" s="3"/>
      <c r="H67" s="101"/>
      <c r="I67" s="101"/>
      <c r="J67" s="3"/>
      <c r="K67" s="101"/>
      <c r="L67" s="101"/>
      <c r="M67" s="101"/>
      <c r="N67" s="101"/>
      <c r="O67" s="101"/>
      <c r="P67" s="3"/>
      <c r="Q67" s="102">
        <f>Q50-Q65</f>
        <v>0</v>
      </c>
      <c r="R67" s="102">
        <f t="shared" ref="R67:U67" si="42">R50-R65</f>
        <v>0</v>
      </c>
      <c r="S67" s="102">
        <f t="shared" si="42"/>
        <v>0</v>
      </c>
      <c r="T67" s="102">
        <f t="shared" si="42"/>
        <v>0</v>
      </c>
      <c r="U67" s="102">
        <f t="shared" si="42"/>
        <v>0</v>
      </c>
    </row>
    <row r="68" spans="3:26" s="100" customFormat="1" ht="12.75" customHeight="1" x14ac:dyDescent="0.2">
      <c r="I68" s="12"/>
      <c r="P68" s="3"/>
    </row>
    <row r="69" spans="3:26" s="100" customFormat="1" ht="12.75" customHeight="1" x14ac:dyDescent="0.2">
      <c r="I69" s="12"/>
      <c r="P69" s="3"/>
    </row>
    <row r="70" spans="3:26" s="100" customFormat="1" ht="12.75" customHeight="1" x14ac:dyDescent="0.25">
      <c r="C70" s="5" t="s">
        <v>100</v>
      </c>
      <c r="D70" s="7"/>
      <c r="G70" s="3"/>
      <c r="I70" s="12"/>
      <c r="J70" s="3"/>
      <c r="P70" s="3"/>
      <c r="Z70"/>
    </row>
    <row r="71" spans="3:26" s="100" customFormat="1" ht="12.75" customHeight="1" x14ac:dyDescent="0.2">
      <c r="C71" s="28" t="s">
        <v>2</v>
      </c>
      <c r="D71" s="28" t="s">
        <v>0</v>
      </c>
      <c r="E71" s="28" t="s">
        <v>5</v>
      </c>
      <c r="F71" s="155" t="str">
        <f>C71&amp;D71</f>
        <v>LabourVPN</v>
      </c>
      <c r="G71" s="3"/>
      <c r="H71" s="28"/>
      <c r="I71" s="29"/>
      <c r="J71" s="3"/>
      <c r="K71" s="28"/>
      <c r="L71" s="28"/>
      <c r="M71" s="28"/>
      <c r="N71" s="28"/>
      <c r="O71" s="28"/>
      <c r="P71" s="3"/>
      <c r="Q71" s="45">
        <f>Q56+(Q62*Assumptions!$B$37)</f>
        <v>334866.16994231759</v>
      </c>
      <c r="R71" s="45">
        <f>R56+(R62*Assumptions!$B$37)</f>
        <v>0</v>
      </c>
      <c r="S71" s="45">
        <f>S56+(S62*Assumptions!$B$37)</f>
        <v>66973.233988463515</v>
      </c>
      <c r="T71" s="45">
        <f>T56+(T62*Assumptions!$B$37)</f>
        <v>0</v>
      </c>
      <c r="U71" s="45">
        <f>U56+(U62*Assumptions!$B$37)</f>
        <v>0</v>
      </c>
    </row>
    <row r="72" spans="3:26" s="100" customFormat="1" ht="12.75" customHeight="1" x14ac:dyDescent="0.2">
      <c r="C72" s="4" t="s">
        <v>1</v>
      </c>
      <c r="D72" s="4" t="s">
        <v>0</v>
      </c>
      <c r="E72" s="4" t="s">
        <v>5</v>
      </c>
      <c r="F72" s="156" t="str">
        <f t="shared" ref="F72:F76" si="43">C72&amp;D72</f>
        <v>MaterialsVPN</v>
      </c>
      <c r="G72" s="3"/>
      <c r="H72" s="4"/>
      <c r="I72" s="13"/>
      <c r="J72" s="3"/>
      <c r="K72" s="4"/>
      <c r="L72" s="4"/>
      <c r="M72" s="4"/>
      <c r="N72" s="4"/>
      <c r="O72" s="4"/>
      <c r="P72" s="3"/>
      <c r="Q72" s="9">
        <f>Q57+(Q63*Assumptions!$B$37)</f>
        <v>1172031.5947981116</v>
      </c>
      <c r="R72" s="9">
        <f>R57+(R63*Assumptions!$B$37)</f>
        <v>0</v>
      </c>
      <c r="S72" s="9">
        <f>S57+(S63*Assumptions!$B$37)</f>
        <v>234406.31895962232</v>
      </c>
      <c r="T72" s="9">
        <f>T57+(T63*Assumptions!$B$37)</f>
        <v>0</v>
      </c>
      <c r="U72" s="9">
        <f>U57+(U63*Assumptions!$B$37)</f>
        <v>0</v>
      </c>
    </row>
    <row r="73" spans="3:26" s="100" customFormat="1" ht="12.75" customHeight="1" x14ac:dyDescent="0.2">
      <c r="C73" s="4" t="s">
        <v>4</v>
      </c>
      <c r="D73" s="4" t="s">
        <v>0</v>
      </c>
      <c r="E73" s="4" t="s">
        <v>5</v>
      </c>
      <c r="F73" s="156" t="str">
        <f t="shared" si="43"/>
        <v>ContractsVPN</v>
      </c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>Q58+(Q64*Assumptions!$B$37)</f>
        <v>1841763.9346827469</v>
      </c>
      <c r="R73" s="9">
        <f>R58+(R64*Assumptions!$B$37)</f>
        <v>0</v>
      </c>
      <c r="S73" s="9">
        <f>S58+(S64*Assumptions!$B$37)</f>
        <v>703218.95687886688</v>
      </c>
      <c r="T73" s="9">
        <f>T58+(T64*Assumptions!$B$37)</f>
        <v>0</v>
      </c>
      <c r="U73" s="9">
        <f>U58+(U64*Assumptions!$B$37)</f>
        <v>334866.16994231759</v>
      </c>
    </row>
    <row r="74" spans="3:26" s="100" customFormat="1" ht="12.75" customHeight="1" x14ac:dyDescent="0.2">
      <c r="C74" s="4" t="s">
        <v>2</v>
      </c>
      <c r="D74" s="4" t="s">
        <v>49</v>
      </c>
      <c r="E74" s="4" t="s">
        <v>5</v>
      </c>
      <c r="F74" s="156" t="str">
        <f t="shared" si="43"/>
        <v>LabourUE</v>
      </c>
      <c r="G74" s="3"/>
      <c r="H74" s="4"/>
      <c r="I74" s="13"/>
      <c r="J74" s="3"/>
      <c r="K74" s="4"/>
      <c r="L74" s="4"/>
      <c r="M74" s="4"/>
      <c r="N74" s="4"/>
      <c r="O74" s="4"/>
      <c r="P74" s="3"/>
      <c r="Q74" s="157">
        <f>Q59+(Q62*Assumptions!$B$38)</f>
        <v>304658.25391682773</v>
      </c>
      <c r="R74" s="157">
        <f>R59+(R62*Assumptions!$B$38)</f>
        <v>0</v>
      </c>
      <c r="S74" s="157">
        <f>S59+(S62*Assumptions!$B$38)</f>
        <v>38931.087116930903</v>
      </c>
      <c r="T74" s="157">
        <f>T59+(T62*Assumptions!$B$38)</f>
        <v>0</v>
      </c>
      <c r="U74" s="157">
        <f>U59+(U62*Assumptions!$B$38)</f>
        <v>0</v>
      </c>
    </row>
    <row r="75" spans="3:26" s="100" customFormat="1" ht="12.75" customHeight="1" x14ac:dyDescent="0.2">
      <c r="C75" s="4" t="s">
        <v>1</v>
      </c>
      <c r="D75" s="4" t="s">
        <v>49</v>
      </c>
      <c r="E75" s="4" t="s">
        <v>5</v>
      </c>
      <c r="F75" s="156" t="str">
        <f t="shared" si="43"/>
        <v>MaterialsUE</v>
      </c>
      <c r="G75" s="3"/>
      <c r="H75" s="4"/>
      <c r="I75" s="13"/>
      <c r="J75" s="3"/>
      <c r="K75" s="4"/>
      <c r="L75" s="4"/>
      <c r="M75" s="4"/>
      <c r="N75" s="4"/>
      <c r="O75" s="4"/>
      <c r="P75" s="3"/>
      <c r="Q75" s="157">
        <f>Q60+(Q63*Assumptions!$B$38)</f>
        <v>1051959.1484151713</v>
      </c>
      <c r="R75" s="157">
        <f>R60+(R63*Assumptions!$B$38)</f>
        <v>0</v>
      </c>
      <c r="S75" s="157">
        <f>S60+(S63*Assumptions!$B$38)</f>
        <v>136258.80490925818</v>
      </c>
      <c r="T75" s="157">
        <f>T60+(T63*Assumptions!$B$38)</f>
        <v>0</v>
      </c>
      <c r="U75" s="157">
        <f>U60+(U63*Assumptions!$B$38)</f>
        <v>0</v>
      </c>
    </row>
    <row r="76" spans="3:26" s="100" customFormat="1" ht="12.75" customHeight="1" x14ac:dyDescent="0.2">
      <c r="C76" s="4" t="s">
        <v>4</v>
      </c>
      <c r="D76" s="4" t="s">
        <v>49</v>
      </c>
      <c r="E76" s="4" t="s">
        <v>5</v>
      </c>
      <c r="F76" s="156" t="str">
        <f t="shared" si="43"/>
        <v>ContractsUE</v>
      </c>
      <c r="G76" s="3"/>
      <c r="H76" s="7"/>
      <c r="I76" s="31"/>
      <c r="J76" s="3"/>
      <c r="K76" s="7"/>
      <c r="L76" s="7"/>
      <c r="M76" s="7"/>
      <c r="N76" s="7"/>
      <c r="O76" s="7"/>
      <c r="P76" s="3"/>
      <c r="Q76" s="157">
        <f>Q61+(Q64*Assumptions!$B$38)</f>
        <v>1653078.6617952692</v>
      </c>
      <c r="R76" s="157">
        <f>R61+(R64*Assumptions!$B$38)</f>
        <v>0</v>
      </c>
      <c r="S76" s="157">
        <f>S61+(S64*Assumptions!$B$38)</f>
        <v>408776.41472777451</v>
      </c>
      <c r="T76" s="157">
        <f>T61+(T64*Assumptions!$B$38)</f>
        <v>0</v>
      </c>
      <c r="U76" s="157">
        <f>U61+(U64*Assumptions!$B$38)</f>
        <v>194655.43558465451</v>
      </c>
    </row>
    <row r="77" spans="3:26" s="100" customFormat="1" ht="12.75" customHeight="1" x14ac:dyDescent="0.2">
      <c r="C77" s="10" t="s">
        <v>101</v>
      </c>
      <c r="D77" s="10"/>
      <c r="E77" s="10"/>
      <c r="F77" s="10"/>
      <c r="G77" s="3"/>
      <c r="H77" s="10"/>
      <c r="I77" s="14"/>
      <c r="J77" s="3"/>
      <c r="K77" s="10"/>
      <c r="L77" s="10"/>
      <c r="M77" s="10"/>
      <c r="N77" s="10"/>
      <c r="O77" s="10"/>
      <c r="P77" s="3"/>
      <c r="Q77" s="11">
        <f>SUM(Q71:Q76)</f>
        <v>6358357.7635504454</v>
      </c>
      <c r="R77" s="11">
        <f t="shared" ref="R77:U77" si="44">SUM(R71:R76)</f>
        <v>0</v>
      </c>
      <c r="S77" s="11">
        <f t="shared" si="44"/>
        <v>1588564.8165809163</v>
      </c>
      <c r="T77" s="11">
        <f t="shared" si="44"/>
        <v>0</v>
      </c>
      <c r="U77" s="11">
        <f t="shared" si="44"/>
        <v>529521.6055269721</v>
      </c>
      <c r="V77" s="44"/>
    </row>
    <row r="78" spans="3:26" s="100" customFormat="1" x14ac:dyDescent="0.2">
      <c r="I78" s="12"/>
    </row>
    <row r="79" spans="3:26" s="100" customFormat="1" ht="12.75" customHeight="1" x14ac:dyDescent="0.2">
      <c r="C79" s="101" t="s">
        <v>12</v>
      </c>
      <c r="D79" s="101"/>
      <c r="E79" s="101"/>
      <c r="F79" s="101"/>
      <c r="G79" s="3"/>
      <c r="H79" s="101"/>
      <c r="I79" s="101"/>
      <c r="J79" s="3"/>
      <c r="K79" s="101"/>
      <c r="L79" s="101"/>
      <c r="M79" s="101"/>
      <c r="N79" s="101"/>
      <c r="O79" s="101"/>
      <c r="P79" s="3"/>
      <c r="Q79" s="102">
        <f>Q50-Q77</f>
        <v>0</v>
      </c>
      <c r="R79" s="102">
        <f>R50-R77</f>
        <v>0</v>
      </c>
      <c r="S79" s="102">
        <f>S50-S77</f>
        <v>0</v>
      </c>
      <c r="T79" s="102">
        <f>T50-T77</f>
        <v>0</v>
      </c>
      <c r="U79" s="102">
        <f>U50-U77</f>
        <v>0</v>
      </c>
      <c r="W79" s="102">
        <f>SUM(Q79:U79)</f>
        <v>0</v>
      </c>
    </row>
    <row r="81" spans="3:5" x14ac:dyDescent="0.2">
      <c r="C81" s="159" t="str">
        <f>"NPV ($ "&amp;Assumptions!$B$17&amp;")"</f>
        <v>NPV ($ 2020/21)</v>
      </c>
      <c r="D81" s="159"/>
      <c r="E81" s="160">
        <f>NPV(Assumptions!$B$6,$Q$50:$U$50)</f>
        <v>8114935.7275070315</v>
      </c>
    </row>
  </sheetData>
  <sortState ref="B53:B55">
    <sortCondition ref="B53:B55"/>
  </sortState>
  <conditionalFormatting sqref="W51">
    <cfRule type="expression" dxfId="9" priority="5">
      <formula>ABS(W51)&gt;0.001</formula>
    </cfRule>
  </conditionalFormatting>
  <conditionalFormatting sqref="Q51:U51">
    <cfRule type="expression" dxfId="8" priority="4">
      <formula>ABS(Q51)&gt;0.001</formula>
    </cfRule>
  </conditionalFormatting>
  <conditionalFormatting sqref="W79">
    <cfRule type="expression" dxfId="7" priority="3">
      <formula>ABS(W79)&gt;0.001</formula>
    </cfRule>
  </conditionalFormatting>
  <conditionalFormatting sqref="Q79:U79">
    <cfRule type="expression" dxfId="6" priority="2">
      <formula>ABS(Q79)&gt;0.001</formula>
    </cfRule>
  </conditionalFormatting>
  <conditionalFormatting sqref="Q67:U67">
    <cfRule type="expression" dxfId="5" priority="1">
      <formula>ABS(Q67)&gt;0.001</formula>
    </cfRule>
  </conditionalFormatting>
  <dataValidations disablePrompts="1" count="4">
    <dataValidation type="list" allowBlank="1" showInputMessage="1" showErrorMessage="1" sqref="E21:E26 E13:E18 E10:E11 E29:E39">
      <formula1>"CapEx, OpEx"</formula1>
    </dataValidation>
    <dataValidation type="list" allowBlank="1" showInputMessage="1" showErrorMessage="1" sqref="F21:F26 F13:F18 F10:F11 F29:F39">
      <formula1>"Labour, Materials, Contracts"</formula1>
    </dataValidation>
    <dataValidation type="list" allowBlank="1" showInputMessage="1" showErrorMessage="1" sqref="D13:D18 D24:D26 D33:D39">
      <formula1>"VPN, UE, Combined"</formula1>
    </dataValidation>
    <dataValidation type="list" allowBlank="1" showInputMessage="1" showErrorMessage="1" sqref="D10:D12 D21:D23 D29:D32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8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68.42578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2.28515625" style="1" bestFit="1" customWidth="1"/>
    <col min="24" max="16384" width="9.140625" style="1"/>
  </cols>
  <sheetData>
    <row r="1" spans="1:26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1" t="s">
        <v>44</v>
      </c>
      <c r="D7" s="121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2" t="s">
        <v>16</v>
      </c>
      <c r="L8" s="122" t="s">
        <v>17</v>
      </c>
      <c r="M8" s="122" t="s">
        <v>18</v>
      </c>
      <c r="N8" s="122" t="s">
        <v>19</v>
      </c>
      <c r="O8" s="122" t="s">
        <v>20</v>
      </c>
      <c r="P8" s="4"/>
      <c r="Q8" s="122" t="s">
        <v>16</v>
      </c>
      <c r="R8" s="122" t="s">
        <v>17</v>
      </c>
      <c r="S8" s="122" t="s">
        <v>18</v>
      </c>
      <c r="T8" s="122" t="s">
        <v>19</v>
      </c>
      <c r="U8" s="122" t="s">
        <v>20</v>
      </c>
    </row>
    <row r="9" spans="1:26" ht="12.75" customHeight="1" x14ac:dyDescent="0.2">
      <c r="A9" s="100"/>
      <c r="B9" s="100"/>
      <c r="C9" s="100"/>
      <c r="D9" s="4"/>
      <c r="E9" s="100"/>
      <c r="F9" s="100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 t="str">
        <f>IF(ISBLANK(B10),"",1+MAX(A$6:A9))</f>
        <v/>
      </c>
      <c r="C10" s="134" t="s">
        <v>59</v>
      </c>
      <c r="D10" s="109" t="s">
        <v>53</v>
      </c>
      <c r="E10" s="109" t="s">
        <v>5</v>
      </c>
      <c r="F10" s="110" t="s">
        <v>2</v>
      </c>
      <c r="G10" s="3"/>
      <c r="H10" s="111">
        <v>122.2</v>
      </c>
      <c r="I10" s="12" t="s">
        <v>51</v>
      </c>
      <c r="J10" s="3"/>
      <c r="K10" s="112">
        <v>4091.6530278232403</v>
      </c>
      <c r="L10" s="112"/>
      <c r="M10" s="112"/>
      <c r="N10" s="112"/>
      <c r="O10" s="112"/>
      <c r="P10" s="3"/>
      <c r="Q10" s="8">
        <f t="shared" ref="Q10:U18" si="0">K10*$H10</f>
        <v>500000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35" t="s">
        <v>62</v>
      </c>
      <c r="D11" s="109" t="s">
        <v>53</v>
      </c>
      <c r="E11" s="109" t="s">
        <v>5</v>
      </c>
      <c r="F11" s="110" t="s">
        <v>2</v>
      </c>
      <c r="G11" s="3"/>
      <c r="H11" s="111">
        <v>122.2</v>
      </c>
      <c r="I11" s="12" t="s">
        <v>51</v>
      </c>
      <c r="J11" s="3"/>
      <c r="K11" s="112"/>
      <c r="L11" s="112">
        <v>818.33060556464807</v>
      </c>
      <c r="M11" s="112"/>
      <c r="N11" s="112"/>
      <c r="O11" s="112"/>
      <c r="P11" s="3"/>
      <c r="Q11" s="8">
        <f t="shared" si="0"/>
        <v>0</v>
      </c>
      <c r="R11" s="8">
        <f t="shared" si="0"/>
        <v>100000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35" t="s">
        <v>60</v>
      </c>
      <c r="D12" s="109" t="s">
        <v>53</v>
      </c>
      <c r="E12" s="109" t="s">
        <v>5</v>
      </c>
      <c r="F12" s="110" t="s">
        <v>2</v>
      </c>
      <c r="G12" s="3"/>
      <c r="H12" s="111">
        <v>122.2</v>
      </c>
      <c r="I12" s="12" t="s">
        <v>51</v>
      </c>
      <c r="J12" s="3"/>
      <c r="K12" s="112"/>
      <c r="L12" s="112"/>
      <c r="M12" s="112">
        <v>818.33060556464807</v>
      </c>
      <c r="N12" s="112"/>
      <c r="O12" s="112"/>
      <c r="P12" s="3"/>
      <c r="Q12" s="8">
        <f t="shared" si="0"/>
        <v>0</v>
      </c>
      <c r="R12" s="8">
        <f t="shared" si="0"/>
        <v>0</v>
      </c>
      <c r="S12" s="8">
        <f t="shared" si="0"/>
        <v>100000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35" t="s">
        <v>63</v>
      </c>
      <c r="D13" s="109" t="s">
        <v>53</v>
      </c>
      <c r="E13" s="109" t="s">
        <v>5</v>
      </c>
      <c r="F13" s="110" t="s">
        <v>2</v>
      </c>
      <c r="G13" s="3"/>
      <c r="H13" s="111">
        <v>122.2</v>
      </c>
      <c r="I13" s="12" t="s">
        <v>51</v>
      </c>
      <c r="J13" s="3"/>
      <c r="K13" s="112"/>
      <c r="L13" s="112">
        <v>409.16530278232403</v>
      </c>
      <c r="M13" s="112"/>
      <c r="N13" s="112"/>
      <c r="O13" s="112"/>
      <c r="P13" s="3"/>
      <c r="Q13" s="8">
        <f t="shared" si="0"/>
        <v>0</v>
      </c>
      <c r="R13" s="8">
        <f t="shared" si="0"/>
        <v>50000</v>
      </c>
      <c r="S13" s="8">
        <f t="shared" si="0"/>
        <v>0</v>
      </c>
      <c r="T13" s="8">
        <f t="shared" si="0"/>
        <v>0</v>
      </c>
      <c r="U13" s="8">
        <f t="shared" si="0"/>
        <v>0</v>
      </c>
      <c r="Z13"/>
    </row>
    <row r="14" spans="1:26" s="100" customFormat="1" ht="12.75" customHeight="1" x14ac:dyDescent="0.25">
      <c r="A14" s="7"/>
      <c r="C14" s="135" t="s">
        <v>102</v>
      </c>
      <c r="D14" s="109" t="s">
        <v>49</v>
      </c>
      <c r="E14" s="158" t="s">
        <v>5</v>
      </c>
      <c r="F14" s="158" t="s">
        <v>2</v>
      </c>
      <c r="G14" s="3"/>
      <c r="H14" s="111">
        <v>122.2</v>
      </c>
      <c r="I14" s="12" t="s">
        <v>51</v>
      </c>
      <c r="J14" s="3"/>
      <c r="K14" s="112">
        <v>850</v>
      </c>
      <c r="L14" s="112"/>
      <c r="M14" s="112"/>
      <c r="N14" s="112"/>
      <c r="O14" s="112"/>
      <c r="P14" s="3"/>
      <c r="Q14" s="8">
        <f t="shared" si="0"/>
        <v>103870</v>
      </c>
      <c r="R14" s="8">
        <f t="shared" si="0"/>
        <v>0</v>
      </c>
      <c r="S14" s="8">
        <f t="shared" si="0"/>
        <v>0</v>
      </c>
      <c r="T14" s="8">
        <f t="shared" si="0"/>
        <v>0</v>
      </c>
      <c r="U14" s="8">
        <f t="shared" si="0"/>
        <v>0</v>
      </c>
      <c r="Z14"/>
    </row>
    <row r="15" spans="1:26" s="100" customFormat="1" ht="12.75" customHeight="1" x14ac:dyDescent="0.25">
      <c r="A15" s="7"/>
      <c r="C15" s="108"/>
      <c r="D15" s="109"/>
      <c r="E15" s="109"/>
      <c r="F15" s="110"/>
      <c r="G15" s="3"/>
      <c r="H15" s="111"/>
      <c r="I15" s="12" t="s">
        <v>51</v>
      </c>
      <c r="J15" s="3"/>
      <c r="K15" s="112"/>
      <c r="L15" s="112"/>
      <c r="M15" s="112"/>
      <c r="N15" s="112"/>
      <c r="O15" s="112"/>
      <c r="P15" s="3"/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ht="12.75" customHeight="1" x14ac:dyDescent="0.25">
      <c r="A16" s="7" t="str">
        <f>IF(ISBLANK(B16),"",1+MAX(A$6:A13))</f>
        <v/>
      </c>
      <c r="C16" s="108"/>
      <c r="D16" s="109"/>
      <c r="E16" s="109"/>
      <c r="F16" s="110"/>
      <c r="G16" s="3"/>
      <c r="H16" s="111"/>
      <c r="I16" s="12" t="s">
        <v>51</v>
      </c>
      <c r="J16" s="3"/>
      <c r="K16" s="112"/>
      <c r="L16" s="112"/>
      <c r="M16" s="112"/>
      <c r="N16" s="112"/>
      <c r="O16" s="112"/>
      <c r="P16" s="3"/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Z16"/>
    </row>
    <row r="17" spans="1:27" ht="12.75" customHeight="1" x14ac:dyDescent="0.25">
      <c r="A17" s="7" t="str">
        <f>IF(ISBLANK(B17),"",1+MAX(A$6:A16))</f>
        <v/>
      </c>
      <c r="C17" s="108"/>
      <c r="D17" s="109"/>
      <c r="E17" s="109"/>
      <c r="F17" s="110"/>
      <c r="G17" s="3"/>
      <c r="H17" s="111"/>
      <c r="I17" s="12" t="s">
        <v>51</v>
      </c>
      <c r="J17" s="3"/>
      <c r="K17" s="112"/>
      <c r="L17" s="114"/>
      <c r="M17" s="114"/>
      <c r="N17" s="112"/>
      <c r="O17" s="114"/>
      <c r="P17" s="3"/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0</v>
      </c>
      <c r="U17" s="8">
        <f t="shared" si="0"/>
        <v>0</v>
      </c>
      <c r="Z17"/>
    </row>
    <row r="18" spans="1:27" ht="12.75" customHeight="1" x14ac:dyDescent="0.25">
      <c r="A18" s="7" t="str">
        <f>IF(ISBLANK(B18),"",1+MAX(A$6:A17))</f>
        <v/>
      </c>
      <c r="C18" s="115"/>
      <c r="D18" s="109"/>
      <c r="E18" s="109"/>
      <c r="F18" s="110"/>
      <c r="G18" s="3"/>
      <c r="H18" s="111"/>
      <c r="I18" s="12" t="s">
        <v>51</v>
      </c>
      <c r="J18" s="3"/>
      <c r="K18" s="113"/>
      <c r="L18" s="114"/>
      <c r="M18" s="113"/>
      <c r="N18" s="114"/>
      <c r="O18" s="113"/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0</v>
      </c>
      <c r="U18" s="8">
        <f t="shared" si="0"/>
        <v>0</v>
      </c>
      <c r="Z18"/>
    </row>
    <row r="19" spans="1:27" ht="12.75" customHeight="1" x14ac:dyDescent="0.25">
      <c r="A19" s="7" t="str">
        <f>IF(ISBLANK(B19),"",1+MAX(A$6:A18))</f>
        <v/>
      </c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Q19" s="100"/>
      <c r="R19" s="100"/>
      <c r="S19" s="100"/>
      <c r="T19" s="100"/>
      <c r="U19" s="100"/>
      <c r="Z19"/>
    </row>
    <row r="20" spans="1:27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Q20" s="100"/>
      <c r="R20" s="100"/>
      <c r="S20" s="100"/>
      <c r="T20" s="100"/>
      <c r="U20" s="100"/>
      <c r="Z20"/>
    </row>
    <row r="21" spans="1:27" ht="12.75" customHeight="1" x14ac:dyDescent="0.25">
      <c r="A21" s="7" t="str">
        <f>IF(ISBLANK(B21),"",1+MAX(A$6:A20))</f>
        <v/>
      </c>
      <c r="C21" s="135" t="s">
        <v>59</v>
      </c>
      <c r="D21" s="109" t="s">
        <v>53</v>
      </c>
      <c r="E21" s="109" t="s">
        <v>5</v>
      </c>
      <c r="F21" s="110" t="s">
        <v>1</v>
      </c>
      <c r="G21" s="3"/>
      <c r="H21" s="112">
        <v>1750000</v>
      </c>
      <c r="I21" s="12" t="s">
        <v>52</v>
      </c>
      <c r="J21" s="3"/>
      <c r="K21" s="113">
        <v>1</v>
      </c>
      <c r="L21" s="114"/>
      <c r="M21" s="113"/>
      <c r="N21" s="114"/>
      <c r="O21" s="113"/>
      <c r="P21" s="3"/>
      <c r="Q21" s="8">
        <f t="shared" ref="Q21:U26" si="1">K21*$H21</f>
        <v>1750000</v>
      </c>
      <c r="R21" s="8">
        <f t="shared" si="1"/>
        <v>0</v>
      </c>
      <c r="S21" s="8">
        <f t="shared" si="1"/>
        <v>0</v>
      </c>
      <c r="T21" s="8">
        <f t="shared" si="1"/>
        <v>0</v>
      </c>
      <c r="U21" s="8">
        <f t="shared" si="1"/>
        <v>0</v>
      </c>
      <c r="Z21"/>
    </row>
    <row r="22" spans="1:27" s="100" customFormat="1" ht="12.75" customHeight="1" x14ac:dyDescent="0.25">
      <c r="A22" s="7"/>
      <c r="C22" s="135" t="s">
        <v>62</v>
      </c>
      <c r="D22" s="109" t="s">
        <v>53</v>
      </c>
      <c r="E22" s="109" t="s">
        <v>5</v>
      </c>
      <c r="F22" s="110" t="s">
        <v>1</v>
      </c>
      <c r="G22" s="3"/>
      <c r="H22" s="112">
        <v>350000</v>
      </c>
      <c r="I22" s="12" t="s">
        <v>52</v>
      </c>
      <c r="J22" s="3"/>
      <c r="K22" s="113"/>
      <c r="L22" s="114">
        <v>1</v>
      </c>
      <c r="M22" s="113"/>
      <c r="N22" s="114"/>
      <c r="O22" s="113"/>
      <c r="P22" s="3"/>
      <c r="Q22" s="8">
        <f t="shared" si="1"/>
        <v>0</v>
      </c>
      <c r="R22" s="8">
        <f t="shared" si="1"/>
        <v>350000</v>
      </c>
      <c r="S22" s="8">
        <f t="shared" si="1"/>
        <v>0</v>
      </c>
      <c r="T22" s="8">
        <f t="shared" si="1"/>
        <v>0</v>
      </c>
      <c r="U22" s="8">
        <f t="shared" si="1"/>
        <v>0</v>
      </c>
      <c r="Z22"/>
    </row>
    <row r="23" spans="1:27" s="100" customFormat="1" ht="12.75" customHeight="1" x14ac:dyDescent="0.25">
      <c r="A23" s="7"/>
      <c r="C23" s="135" t="s">
        <v>60</v>
      </c>
      <c r="D23" s="109" t="s">
        <v>53</v>
      </c>
      <c r="E23" s="109" t="s">
        <v>5</v>
      </c>
      <c r="F23" s="110" t="s">
        <v>1</v>
      </c>
      <c r="G23" s="3"/>
      <c r="H23" s="112">
        <v>350000</v>
      </c>
      <c r="I23" s="12" t="s">
        <v>52</v>
      </c>
      <c r="J23" s="3"/>
      <c r="K23" s="113"/>
      <c r="L23" s="114"/>
      <c r="M23" s="113">
        <v>1</v>
      </c>
      <c r="N23" s="114"/>
      <c r="O23" s="113"/>
      <c r="P23" s="3"/>
      <c r="Q23" s="8">
        <f t="shared" si="1"/>
        <v>0</v>
      </c>
      <c r="R23" s="8">
        <f t="shared" si="1"/>
        <v>0</v>
      </c>
      <c r="S23" s="8">
        <f t="shared" si="1"/>
        <v>350000</v>
      </c>
      <c r="T23" s="8">
        <f t="shared" si="1"/>
        <v>0</v>
      </c>
      <c r="U23" s="8">
        <f t="shared" si="1"/>
        <v>0</v>
      </c>
      <c r="Z23"/>
    </row>
    <row r="24" spans="1:27" s="100" customFormat="1" ht="12.75" customHeight="1" x14ac:dyDescent="0.25">
      <c r="A24" s="7"/>
      <c r="C24" s="135" t="s">
        <v>63</v>
      </c>
      <c r="D24" s="109" t="s">
        <v>53</v>
      </c>
      <c r="E24" s="109" t="s">
        <v>5</v>
      </c>
      <c r="F24" s="110" t="s">
        <v>1</v>
      </c>
      <c r="G24" s="3"/>
      <c r="H24" s="112">
        <v>175000</v>
      </c>
      <c r="I24" s="12" t="s">
        <v>52</v>
      </c>
      <c r="J24" s="3"/>
      <c r="K24" s="113"/>
      <c r="L24" s="114">
        <v>1</v>
      </c>
      <c r="M24" s="113"/>
      <c r="N24" s="114"/>
      <c r="O24" s="113"/>
      <c r="P24" s="3"/>
      <c r="Q24" s="8">
        <f t="shared" si="1"/>
        <v>0</v>
      </c>
      <c r="R24" s="8">
        <f t="shared" si="1"/>
        <v>175000</v>
      </c>
      <c r="S24" s="8">
        <f t="shared" si="1"/>
        <v>0</v>
      </c>
      <c r="T24" s="8">
        <f t="shared" si="1"/>
        <v>0</v>
      </c>
      <c r="U24" s="8">
        <f t="shared" si="1"/>
        <v>0</v>
      </c>
      <c r="Z24"/>
    </row>
    <row r="25" spans="1:27" s="100" customFormat="1" ht="12.75" customHeight="1" x14ac:dyDescent="0.25">
      <c r="A25" s="7"/>
      <c r="C25" s="135" t="s">
        <v>102</v>
      </c>
      <c r="D25" s="109" t="s">
        <v>49</v>
      </c>
      <c r="E25" s="109" t="s">
        <v>5</v>
      </c>
      <c r="F25" s="110" t="s">
        <v>1</v>
      </c>
      <c r="G25" s="3"/>
      <c r="H25" s="112">
        <v>350000</v>
      </c>
      <c r="I25" s="12" t="s">
        <v>52</v>
      </c>
      <c r="J25" s="3"/>
      <c r="K25" s="113">
        <v>1</v>
      </c>
      <c r="L25" s="114"/>
      <c r="M25" s="113"/>
      <c r="N25" s="114"/>
      <c r="O25" s="113"/>
      <c r="P25" s="3"/>
      <c r="Q25" s="8">
        <f t="shared" si="1"/>
        <v>350000</v>
      </c>
      <c r="R25" s="8">
        <f t="shared" si="1"/>
        <v>0</v>
      </c>
      <c r="S25" s="8">
        <f t="shared" si="1"/>
        <v>0</v>
      </c>
      <c r="T25" s="8">
        <f t="shared" si="1"/>
        <v>0</v>
      </c>
      <c r="U25" s="8">
        <f t="shared" si="1"/>
        <v>0</v>
      </c>
      <c r="Z25"/>
    </row>
    <row r="26" spans="1:27" ht="12.75" customHeight="1" x14ac:dyDescent="0.25">
      <c r="A26" s="7" t="str">
        <f>IF(ISBLANK(B26),"",1+MAX(A$6:A21))</f>
        <v/>
      </c>
      <c r="C26" s="108"/>
      <c r="D26" s="109"/>
      <c r="E26" s="109"/>
      <c r="F26" s="110"/>
      <c r="G26" s="3"/>
      <c r="H26" s="112"/>
      <c r="I26" s="12" t="s">
        <v>52</v>
      </c>
      <c r="J26" s="3"/>
      <c r="K26" s="113"/>
      <c r="L26" s="114"/>
      <c r="M26" s="113"/>
      <c r="N26" s="114"/>
      <c r="O26" s="113"/>
      <c r="P26" s="3"/>
      <c r="Q26" s="8">
        <f t="shared" si="1"/>
        <v>0</v>
      </c>
      <c r="R26" s="8">
        <f t="shared" si="1"/>
        <v>0</v>
      </c>
      <c r="S26" s="8">
        <f t="shared" si="1"/>
        <v>0</v>
      </c>
      <c r="T26" s="8">
        <f t="shared" si="1"/>
        <v>0</v>
      </c>
      <c r="U26" s="8">
        <f t="shared" si="1"/>
        <v>0</v>
      </c>
      <c r="Z26"/>
    </row>
    <row r="27" spans="1:27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7" ht="12.7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2.75" customHeight="1" x14ac:dyDescent="0.2">
      <c r="A29" s="7" t="str">
        <f>IF(ISBLANK(B29),"",1+MAX(A$6:A28))</f>
        <v/>
      </c>
      <c r="C29" s="135" t="s">
        <v>59</v>
      </c>
      <c r="D29" s="109" t="s">
        <v>53</v>
      </c>
      <c r="E29" s="109" t="s">
        <v>5</v>
      </c>
      <c r="F29" s="110" t="s">
        <v>4</v>
      </c>
      <c r="G29" s="100"/>
      <c r="H29" s="6"/>
      <c r="I29" s="13" t="s">
        <v>42</v>
      </c>
      <c r="J29" s="100"/>
      <c r="K29" s="112">
        <v>2750000</v>
      </c>
      <c r="L29" s="112"/>
      <c r="M29" s="112"/>
      <c r="N29" s="112"/>
      <c r="O29" s="112"/>
      <c r="P29" s="100"/>
      <c r="Q29" s="8">
        <f t="shared" ref="Q29:U39" si="2">K29</f>
        <v>2750000</v>
      </c>
      <c r="R29" s="8">
        <f t="shared" si="2"/>
        <v>0</v>
      </c>
      <c r="S29" s="8">
        <f t="shared" si="2"/>
        <v>0</v>
      </c>
      <c r="T29" s="8">
        <f t="shared" si="2"/>
        <v>0</v>
      </c>
      <c r="U29" s="8">
        <f t="shared" si="2"/>
        <v>0</v>
      </c>
    </row>
    <row r="30" spans="1:27" s="100" customFormat="1" ht="12.75" customHeight="1" x14ac:dyDescent="0.2">
      <c r="A30" s="7"/>
      <c r="C30" s="135" t="s">
        <v>61</v>
      </c>
      <c r="D30" s="109" t="s">
        <v>53</v>
      </c>
      <c r="E30" s="109" t="s">
        <v>5</v>
      </c>
      <c r="F30" s="110" t="s">
        <v>4</v>
      </c>
      <c r="H30" s="6"/>
      <c r="I30" s="13" t="s">
        <v>42</v>
      </c>
      <c r="K30" s="112"/>
      <c r="L30" s="112"/>
      <c r="M30" s="112">
        <v>500000</v>
      </c>
      <c r="N30" s="112"/>
      <c r="O30" s="112">
        <v>500000</v>
      </c>
      <c r="Q30" s="8">
        <f t="shared" si="2"/>
        <v>0</v>
      </c>
      <c r="R30" s="8">
        <f t="shared" si="2"/>
        <v>0</v>
      </c>
      <c r="S30" s="8">
        <f t="shared" si="2"/>
        <v>500000</v>
      </c>
      <c r="T30" s="8">
        <f t="shared" si="2"/>
        <v>0</v>
      </c>
      <c r="U30" s="8">
        <f t="shared" si="2"/>
        <v>500000</v>
      </c>
    </row>
    <row r="31" spans="1:27" s="100" customFormat="1" ht="12.75" customHeight="1" x14ac:dyDescent="0.2">
      <c r="A31" s="7"/>
      <c r="C31" s="135" t="s">
        <v>62</v>
      </c>
      <c r="D31" s="109" t="s">
        <v>53</v>
      </c>
      <c r="E31" s="109" t="s">
        <v>5</v>
      </c>
      <c r="F31" s="110" t="s">
        <v>4</v>
      </c>
      <c r="H31" s="6"/>
      <c r="I31" s="13" t="s">
        <v>42</v>
      </c>
      <c r="K31" s="112"/>
      <c r="L31" s="112">
        <v>550000</v>
      </c>
      <c r="M31" s="112"/>
      <c r="N31" s="112"/>
      <c r="O31" s="112"/>
      <c r="Q31" s="8">
        <f t="shared" si="2"/>
        <v>0</v>
      </c>
      <c r="R31" s="8">
        <f t="shared" si="2"/>
        <v>550000</v>
      </c>
      <c r="S31" s="8">
        <f t="shared" si="2"/>
        <v>0</v>
      </c>
      <c r="T31" s="8">
        <f t="shared" si="2"/>
        <v>0</v>
      </c>
      <c r="U31" s="8">
        <f t="shared" si="2"/>
        <v>0</v>
      </c>
    </row>
    <row r="32" spans="1:27" ht="12.75" customHeight="1" x14ac:dyDescent="0.2">
      <c r="A32" s="7"/>
      <c r="C32" s="135" t="s">
        <v>60</v>
      </c>
      <c r="D32" s="109" t="s">
        <v>53</v>
      </c>
      <c r="E32" s="109" t="s">
        <v>5</v>
      </c>
      <c r="F32" s="110" t="s">
        <v>4</v>
      </c>
      <c r="G32" s="100"/>
      <c r="H32" s="6"/>
      <c r="I32" s="13" t="s">
        <v>42</v>
      </c>
      <c r="J32" s="100"/>
      <c r="K32" s="112"/>
      <c r="L32" s="112"/>
      <c r="M32" s="112">
        <v>550000</v>
      </c>
      <c r="N32" s="112"/>
      <c r="O32" s="112"/>
      <c r="P32" s="100"/>
      <c r="Q32" s="8">
        <f t="shared" si="2"/>
        <v>0</v>
      </c>
      <c r="R32" s="8">
        <f t="shared" si="2"/>
        <v>0</v>
      </c>
      <c r="S32" s="8">
        <f t="shared" si="2"/>
        <v>550000</v>
      </c>
      <c r="T32" s="8">
        <f t="shared" si="2"/>
        <v>0</v>
      </c>
      <c r="U32" s="8">
        <f t="shared" si="2"/>
        <v>0</v>
      </c>
    </row>
    <row r="33" spans="1:26" s="100" customFormat="1" ht="12.75" customHeight="1" x14ac:dyDescent="0.2">
      <c r="A33" s="7"/>
      <c r="C33" s="135" t="s">
        <v>63</v>
      </c>
      <c r="D33" s="109" t="s">
        <v>53</v>
      </c>
      <c r="E33" s="109" t="s">
        <v>5</v>
      </c>
      <c r="F33" s="110" t="s">
        <v>4</v>
      </c>
      <c r="H33" s="6"/>
      <c r="I33" s="13" t="s">
        <v>42</v>
      </c>
      <c r="K33" s="112"/>
      <c r="L33" s="112">
        <v>275000</v>
      </c>
      <c r="M33" s="112"/>
      <c r="N33" s="112"/>
      <c r="O33" s="112"/>
      <c r="Q33" s="8">
        <f t="shared" si="2"/>
        <v>0</v>
      </c>
      <c r="R33" s="8">
        <f t="shared" si="2"/>
        <v>275000</v>
      </c>
      <c r="S33" s="8">
        <f t="shared" si="2"/>
        <v>0</v>
      </c>
      <c r="T33" s="8">
        <f t="shared" si="2"/>
        <v>0</v>
      </c>
      <c r="U33" s="8">
        <f t="shared" si="2"/>
        <v>0</v>
      </c>
    </row>
    <row r="34" spans="1:26" s="100" customFormat="1" ht="12.75" customHeight="1" x14ac:dyDescent="0.2">
      <c r="A34" s="7"/>
      <c r="C34" s="135" t="s">
        <v>102</v>
      </c>
      <c r="D34" s="109" t="s">
        <v>49</v>
      </c>
      <c r="E34" s="109" t="s">
        <v>5</v>
      </c>
      <c r="F34" s="110" t="s">
        <v>4</v>
      </c>
      <c r="H34" s="6"/>
      <c r="I34" s="13" t="s">
        <v>42</v>
      </c>
      <c r="K34" s="112">
        <v>550000</v>
      </c>
      <c r="L34" s="112"/>
      <c r="M34" s="112"/>
      <c r="N34" s="112"/>
      <c r="O34" s="112"/>
      <c r="Q34" s="8">
        <f t="shared" si="2"/>
        <v>550000</v>
      </c>
      <c r="R34" s="8">
        <f t="shared" si="2"/>
        <v>0</v>
      </c>
      <c r="S34" s="8">
        <f t="shared" si="2"/>
        <v>0</v>
      </c>
      <c r="T34" s="8">
        <f t="shared" si="2"/>
        <v>0</v>
      </c>
      <c r="U34" s="8">
        <f t="shared" si="2"/>
        <v>0</v>
      </c>
    </row>
    <row r="35" spans="1:26" s="100" customFormat="1" ht="12.75" customHeight="1" x14ac:dyDescent="0.2">
      <c r="A35" s="7"/>
      <c r="C35" s="108"/>
      <c r="D35" s="109"/>
      <c r="E35" s="109"/>
      <c r="F35" s="110"/>
      <c r="H35" s="6"/>
      <c r="I35" s="13" t="s">
        <v>42</v>
      </c>
      <c r="K35" s="112"/>
      <c r="L35" s="112"/>
      <c r="M35" s="112"/>
      <c r="N35" s="112"/>
      <c r="O35" s="112"/>
      <c r="Q35" s="8">
        <f t="shared" si="2"/>
        <v>0</v>
      </c>
      <c r="R35" s="8">
        <f t="shared" si="2"/>
        <v>0</v>
      </c>
      <c r="S35" s="8">
        <f t="shared" si="2"/>
        <v>0</v>
      </c>
      <c r="T35" s="8">
        <f t="shared" si="2"/>
        <v>0</v>
      </c>
      <c r="U35" s="8">
        <f t="shared" si="2"/>
        <v>0</v>
      </c>
    </row>
    <row r="36" spans="1:26" s="100" customFormat="1" ht="12.75" customHeight="1" x14ac:dyDescent="0.2">
      <c r="A36" s="7"/>
      <c r="C36" s="108"/>
      <c r="D36" s="109"/>
      <c r="E36" s="109"/>
      <c r="F36" s="110"/>
      <c r="H36" s="6"/>
      <c r="I36" s="13" t="s">
        <v>42</v>
      </c>
      <c r="K36" s="112"/>
      <c r="L36" s="112"/>
      <c r="M36" s="112"/>
      <c r="N36" s="112"/>
      <c r="O36" s="112"/>
      <c r="Q36" s="8">
        <f t="shared" si="2"/>
        <v>0</v>
      </c>
      <c r="R36" s="8">
        <f t="shared" si="2"/>
        <v>0</v>
      </c>
      <c r="S36" s="8">
        <f t="shared" si="2"/>
        <v>0</v>
      </c>
      <c r="T36" s="8">
        <f t="shared" si="2"/>
        <v>0</v>
      </c>
      <c r="U36" s="8">
        <f t="shared" si="2"/>
        <v>0</v>
      </c>
    </row>
    <row r="37" spans="1:26" s="100" customFormat="1" ht="12.75" customHeight="1" x14ac:dyDescent="0.2">
      <c r="A37" s="7"/>
      <c r="C37" s="108"/>
      <c r="D37" s="109"/>
      <c r="E37" s="109"/>
      <c r="F37" s="110"/>
      <c r="H37" s="6"/>
      <c r="I37" s="13" t="s">
        <v>42</v>
      </c>
      <c r="K37" s="112"/>
      <c r="L37" s="112"/>
      <c r="M37" s="112"/>
      <c r="N37" s="112"/>
      <c r="O37" s="112"/>
      <c r="Q37" s="8">
        <f t="shared" si="2"/>
        <v>0</v>
      </c>
      <c r="R37" s="8">
        <f t="shared" si="2"/>
        <v>0</v>
      </c>
      <c r="S37" s="8">
        <f t="shared" si="2"/>
        <v>0</v>
      </c>
      <c r="T37" s="8">
        <f t="shared" si="2"/>
        <v>0</v>
      </c>
      <c r="U37" s="8">
        <f t="shared" si="2"/>
        <v>0</v>
      </c>
    </row>
    <row r="38" spans="1:26" s="100" customFormat="1" ht="12.75" customHeight="1" x14ac:dyDescent="0.2">
      <c r="A38" s="7"/>
      <c r="C38" s="108"/>
      <c r="D38" s="109"/>
      <c r="E38" s="109"/>
      <c r="F38" s="110"/>
      <c r="H38" s="6"/>
      <c r="I38" s="13" t="s">
        <v>42</v>
      </c>
      <c r="K38" s="112"/>
      <c r="L38" s="112"/>
      <c r="M38" s="112"/>
      <c r="N38" s="112"/>
      <c r="O38" s="112"/>
      <c r="Q38" s="8">
        <f t="shared" si="2"/>
        <v>0</v>
      </c>
      <c r="R38" s="8">
        <f t="shared" si="2"/>
        <v>0</v>
      </c>
      <c r="S38" s="8">
        <f t="shared" si="2"/>
        <v>0</v>
      </c>
      <c r="T38" s="8">
        <f t="shared" si="2"/>
        <v>0</v>
      </c>
      <c r="U38" s="8">
        <f t="shared" si="2"/>
        <v>0</v>
      </c>
    </row>
    <row r="39" spans="1:26" ht="12.75" customHeight="1" x14ac:dyDescent="0.2">
      <c r="A39" s="7"/>
      <c r="B39" s="100"/>
      <c r="C39" s="108"/>
      <c r="D39" s="109"/>
      <c r="E39" s="109"/>
      <c r="F39" s="110"/>
      <c r="G39" s="100"/>
      <c r="H39" s="6"/>
      <c r="I39" s="13" t="s">
        <v>42</v>
      </c>
      <c r="J39" s="100"/>
      <c r="K39" s="112"/>
      <c r="L39" s="112"/>
      <c r="M39" s="112"/>
      <c r="N39" s="112"/>
      <c r="O39" s="112"/>
      <c r="P39" s="100"/>
      <c r="Q39" s="8">
        <f t="shared" si="2"/>
        <v>0</v>
      </c>
      <c r="R39" s="8">
        <f t="shared" si="2"/>
        <v>0</v>
      </c>
      <c r="S39" s="8">
        <f t="shared" si="2"/>
        <v>0</v>
      </c>
      <c r="T39" s="8">
        <f t="shared" si="2"/>
        <v>0</v>
      </c>
      <c r="U39" s="8">
        <f t="shared" si="2"/>
        <v>0</v>
      </c>
    </row>
    <row r="40" spans="1:26" ht="12.75" customHeight="1" x14ac:dyDescent="0.25">
      <c r="G40" s="100"/>
      <c r="J40" s="100"/>
      <c r="P40" s="100"/>
      <c r="Z40"/>
    </row>
    <row r="41" spans="1:26" ht="12.75" customHeight="1" x14ac:dyDescent="0.25">
      <c r="G41" s="100"/>
      <c r="J41" s="100"/>
      <c r="P41" s="100"/>
      <c r="Z41"/>
    </row>
    <row r="42" spans="1:26" ht="12.75" customHeight="1" x14ac:dyDescent="0.25">
      <c r="C42" s="5" t="s">
        <v>13</v>
      </c>
      <c r="D42" s="7"/>
      <c r="G42" s="100"/>
      <c r="J42" s="100"/>
      <c r="P42" s="100"/>
      <c r="Z42"/>
    </row>
    <row r="43" spans="1:26" ht="12.75" customHeight="1" x14ac:dyDescent="0.2">
      <c r="C43" s="28" t="s">
        <v>2</v>
      </c>
      <c r="D43" s="28"/>
      <c r="E43" s="28" t="s">
        <v>5</v>
      </c>
      <c r="F43" s="28"/>
      <c r="G43" s="100"/>
      <c r="H43" s="28"/>
      <c r="I43" s="29"/>
      <c r="J43" s="100"/>
      <c r="K43" s="28"/>
      <c r="L43" s="28"/>
      <c r="M43" s="28"/>
      <c r="N43" s="28"/>
      <c r="O43" s="28"/>
      <c r="P43" s="100"/>
      <c r="Q43" s="30">
        <f t="shared" ref="Q43:U48" si="3">SUMIFS(Q$10:Q$39,$F$10:$F$39,$C43,$E$10:$E$39,$E43)</f>
        <v>603870</v>
      </c>
      <c r="R43" s="30">
        <f t="shared" si="3"/>
        <v>150000</v>
      </c>
      <c r="S43" s="30">
        <f t="shared" si="3"/>
        <v>100000</v>
      </c>
      <c r="T43" s="30">
        <f t="shared" si="3"/>
        <v>0</v>
      </c>
      <c r="U43" s="30">
        <f t="shared" si="3"/>
        <v>0</v>
      </c>
    </row>
    <row r="44" spans="1:26" ht="12.75" customHeight="1" x14ac:dyDescent="0.2">
      <c r="C44" s="4" t="s">
        <v>1</v>
      </c>
      <c r="D44" s="4"/>
      <c r="E44" s="4" t="s">
        <v>5</v>
      </c>
      <c r="F44" s="4"/>
      <c r="G44" s="100"/>
      <c r="H44" s="4"/>
      <c r="I44" s="13"/>
      <c r="J44" s="100"/>
      <c r="K44" s="4"/>
      <c r="L44" s="4"/>
      <c r="M44" s="4"/>
      <c r="N44" s="4"/>
      <c r="O44" s="4"/>
      <c r="P44" s="100"/>
      <c r="Q44" s="9">
        <f t="shared" si="3"/>
        <v>2100000</v>
      </c>
      <c r="R44" s="9">
        <f t="shared" si="3"/>
        <v>525000</v>
      </c>
      <c r="S44" s="9">
        <f t="shared" si="3"/>
        <v>350000</v>
      </c>
      <c r="T44" s="9">
        <f t="shared" si="3"/>
        <v>0</v>
      </c>
      <c r="U44" s="9">
        <f t="shared" si="3"/>
        <v>0</v>
      </c>
    </row>
    <row r="45" spans="1:26" ht="12.75" customHeight="1" x14ac:dyDescent="0.2">
      <c r="C45" s="4" t="s">
        <v>4</v>
      </c>
      <c r="D45" s="4"/>
      <c r="E45" s="4" t="s">
        <v>5</v>
      </c>
      <c r="F45" s="4"/>
      <c r="G45" s="100"/>
      <c r="H45" s="4"/>
      <c r="I45" s="13"/>
      <c r="J45" s="100"/>
      <c r="K45" s="4"/>
      <c r="L45" s="4"/>
      <c r="M45" s="4"/>
      <c r="N45" s="4"/>
      <c r="O45" s="4"/>
      <c r="P45" s="100"/>
      <c r="Q45" s="9">
        <f t="shared" si="3"/>
        <v>3300000</v>
      </c>
      <c r="R45" s="9">
        <f t="shared" si="3"/>
        <v>825000</v>
      </c>
      <c r="S45" s="9">
        <f t="shared" si="3"/>
        <v>1050000</v>
      </c>
      <c r="T45" s="9">
        <f t="shared" si="3"/>
        <v>0</v>
      </c>
      <c r="U45" s="9">
        <f t="shared" si="3"/>
        <v>500000</v>
      </c>
    </row>
    <row r="46" spans="1:26" ht="12.75" customHeight="1" x14ac:dyDescent="0.2">
      <c r="C46" s="4" t="s">
        <v>2</v>
      </c>
      <c r="D46" s="4"/>
      <c r="E46" s="4" t="s">
        <v>41</v>
      </c>
      <c r="F46" s="4"/>
      <c r="G46" s="100"/>
      <c r="H46" s="4"/>
      <c r="I46" s="13"/>
      <c r="J46" s="100"/>
      <c r="K46" s="4"/>
      <c r="L46" s="4"/>
      <c r="M46" s="4"/>
      <c r="N46" s="4"/>
      <c r="O46" s="4"/>
      <c r="P46" s="100"/>
      <c r="Q46" s="9">
        <f t="shared" si="3"/>
        <v>0</v>
      </c>
      <c r="R46" s="9">
        <f t="shared" si="3"/>
        <v>0</v>
      </c>
      <c r="S46" s="9">
        <f t="shared" si="3"/>
        <v>0</v>
      </c>
      <c r="T46" s="9">
        <f t="shared" si="3"/>
        <v>0</v>
      </c>
      <c r="U46" s="9">
        <f t="shared" si="3"/>
        <v>0</v>
      </c>
    </row>
    <row r="47" spans="1:26" ht="12.75" customHeight="1" x14ac:dyDescent="0.2">
      <c r="C47" s="4" t="s">
        <v>1</v>
      </c>
      <c r="D47" s="4"/>
      <c r="E47" s="4" t="s">
        <v>41</v>
      </c>
      <c r="F47" s="4"/>
      <c r="G47" s="100"/>
      <c r="H47" s="4"/>
      <c r="I47" s="13"/>
      <c r="J47" s="100"/>
      <c r="K47" s="4"/>
      <c r="L47" s="4"/>
      <c r="M47" s="4"/>
      <c r="N47" s="4"/>
      <c r="O47" s="4"/>
      <c r="P47" s="100"/>
      <c r="Q47" s="9">
        <f t="shared" si="3"/>
        <v>0</v>
      </c>
      <c r="R47" s="9">
        <f t="shared" si="3"/>
        <v>0</v>
      </c>
      <c r="S47" s="9">
        <f t="shared" si="3"/>
        <v>0</v>
      </c>
      <c r="T47" s="9">
        <f t="shared" si="3"/>
        <v>0</v>
      </c>
      <c r="U47" s="9">
        <f t="shared" si="3"/>
        <v>0</v>
      </c>
    </row>
    <row r="48" spans="1:26" ht="12.75" customHeight="1" x14ac:dyDescent="0.2">
      <c r="C48" s="4" t="s">
        <v>4</v>
      </c>
      <c r="D48" s="4"/>
      <c r="E48" s="4" t="s">
        <v>41</v>
      </c>
      <c r="F48" s="7"/>
      <c r="G48" s="100"/>
      <c r="H48" s="7"/>
      <c r="I48" s="31"/>
      <c r="J48" s="100"/>
      <c r="K48" s="7"/>
      <c r="L48" s="7"/>
      <c r="M48" s="7"/>
      <c r="N48" s="7"/>
      <c r="O48" s="7"/>
      <c r="P48" s="100"/>
      <c r="Q48" s="9">
        <f t="shared" si="3"/>
        <v>0</v>
      </c>
      <c r="R48" s="9">
        <f t="shared" si="3"/>
        <v>0</v>
      </c>
      <c r="S48" s="9">
        <f t="shared" si="3"/>
        <v>0</v>
      </c>
      <c r="T48" s="9">
        <f t="shared" si="3"/>
        <v>0</v>
      </c>
      <c r="U48" s="9">
        <f t="shared" si="3"/>
        <v>0</v>
      </c>
    </row>
    <row r="49" spans="3:25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100"/>
      <c r="H49" s="10"/>
      <c r="I49" s="14"/>
      <c r="J49" s="100"/>
      <c r="K49" s="10"/>
      <c r="L49" s="10"/>
      <c r="M49" s="10"/>
      <c r="N49" s="10"/>
      <c r="O49" s="10"/>
      <c r="P49" s="100"/>
      <c r="Q49" s="11">
        <f>SUM(Q43:Q48)</f>
        <v>6003870</v>
      </c>
      <c r="R49" s="11">
        <f t="shared" ref="R49:U49" si="4">SUM(R43:R48)</f>
        <v>1500000</v>
      </c>
      <c r="S49" s="11">
        <f t="shared" si="4"/>
        <v>1500000</v>
      </c>
      <c r="T49" s="11">
        <f t="shared" si="4"/>
        <v>0</v>
      </c>
      <c r="U49" s="11">
        <f t="shared" si="4"/>
        <v>500000</v>
      </c>
      <c r="V49" s="44"/>
      <c r="W49" s="100"/>
      <c r="X49" s="100"/>
      <c r="Y49" s="100"/>
    </row>
    <row r="50" spans="3:25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100"/>
      <c r="H50" s="28"/>
      <c r="I50" s="29"/>
      <c r="J50" s="100"/>
      <c r="K50" s="28"/>
      <c r="L50" s="28"/>
      <c r="M50" s="28"/>
      <c r="N50" s="28"/>
      <c r="O50" s="28"/>
      <c r="P50" s="100"/>
      <c r="Q50" s="45">
        <f>Q49*Assumptions!$B$18</f>
        <v>6358357.7635504445</v>
      </c>
      <c r="R50" s="45">
        <f>R49*Assumptions!$B$18</f>
        <v>1588564.8165809165</v>
      </c>
      <c r="S50" s="45">
        <f>S49*Assumptions!$B$18</f>
        <v>1588564.8165809165</v>
      </c>
      <c r="T50" s="45">
        <f>T49*Assumptions!$B$18</f>
        <v>0</v>
      </c>
      <c r="U50" s="45">
        <f>U49*Assumptions!$B$18</f>
        <v>529521.6055269721</v>
      </c>
      <c r="V50" s="44"/>
      <c r="W50" s="100"/>
      <c r="X50" s="100"/>
      <c r="Y50" s="100"/>
    </row>
    <row r="51" spans="3:25" x14ac:dyDescent="0.2">
      <c r="C51" s="101" t="s">
        <v>12</v>
      </c>
      <c r="D51" s="101"/>
      <c r="E51" s="101"/>
      <c r="F51" s="101"/>
      <c r="G51" s="100"/>
      <c r="H51" s="101"/>
      <c r="I51" s="101"/>
      <c r="J51" s="100"/>
      <c r="K51" s="101"/>
      <c r="L51" s="101"/>
      <c r="M51" s="101"/>
      <c r="N51" s="101"/>
      <c r="O51" s="101"/>
      <c r="P51" s="100"/>
      <c r="Q51" s="102">
        <f>Q49-SUM(Q10:Q39)</f>
        <v>0</v>
      </c>
      <c r="R51" s="102">
        <f t="shared" ref="R51:U51" si="5">R49-SUM(R10:R39)</f>
        <v>0</v>
      </c>
      <c r="S51" s="102">
        <f t="shared" si="5"/>
        <v>0</v>
      </c>
      <c r="T51" s="102">
        <f t="shared" si="5"/>
        <v>0</v>
      </c>
      <c r="U51" s="102">
        <f t="shared" si="5"/>
        <v>0</v>
      </c>
      <c r="V51" s="100"/>
      <c r="W51" s="102">
        <f>SUM(Q51:U51)</f>
        <v>0</v>
      </c>
      <c r="X51" s="100"/>
      <c r="Y51" s="100"/>
    </row>
    <row r="52" spans="3:25" ht="12.75" customHeight="1" x14ac:dyDescent="0.2">
      <c r="C52" s="100"/>
      <c r="E52" s="100"/>
      <c r="F52" s="100"/>
      <c r="G52" s="100"/>
      <c r="H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</row>
    <row r="53" spans="3:25" ht="12.75" customHeight="1" x14ac:dyDescent="0.2">
      <c r="F53" s="40"/>
      <c r="G53" s="100"/>
      <c r="H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</row>
    <row r="54" spans="3:25" ht="12.75" customHeight="1" x14ac:dyDescent="0.2">
      <c r="G54" s="100"/>
      <c r="J54" s="100"/>
      <c r="P54" s="100"/>
    </row>
    <row r="55" spans="3:25" s="100" customFormat="1" ht="12.75" customHeight="1" x14ac:dyDescent="0.2">
      <c r="C55" s="5" t="s">
        <v>100</v>
      </c>
      <c r="D55" s="7"/>
      <c r="G55" s="3"/>
      <c r="I55" s="12"/>
      <c r="J55" s="3"/>
      <c r="P55" s="3"/>
    </row>
    <row r="56" spans="3:25" s="100" customFormat="1" ht="12.75" customHeight="1" x14ac:dyDescent="0.2">
      <c r="C56" s="28" t="s">
        <v>2</v>
      </c>
      <c r="D56" s="28" t="s">
        <v>0</v>
      </c>
      <c r="E56" s="28" t="s">
        <v>5</v>
      </c>
      <c r="F56" s="28"/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4" si="6">SUMIFS(Q$10:Q$39,$F$10:$F$39,$C56,$E$10:$E$39,$E56,$D$10:$D$39,$D56)*Conv_2021</f>
        <v>0</v>
      </c>
      <c r="R56" s="45">
        <f t="shared" si="6"/>
        <v>0</v>
      </c>
      <c r="S56" s="45">
        <f t="shared" si="6"/>
        <v>0</v>
      </c>
      <c r="T56" s="45">
        <f t="shared" si="6"/>
        <v>0</v>
      </c>
      <c r="U56" s="45">
        <f t="shared" si="6"/>
        <v>0</v>
      </c>
    </row>
    <row r="57" spans="3:25" s="100" customFormat="1" ht="12.75" customHeight="1" x14ac:dyDescent="0.2">
      <c r="C57" s="4" t="s">
        <v>1</v>
      </c>
      <c r="D57" s="4" t="s">
        <v>0</v>
      </c>
      <c r="E57" s="4" t="s">
        <v>5</v>
      </c>
      <c r="F57" s="4"/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6"/>
        <v>0</v>
      </c>
      <c r="R57" s="9">
        <f t="shared" si="6"/>
        <v>0</v>
      </c>
      <c r="S57" s="9">
        <f t="shared" si="6"/>
        <v>0</v>
      </c>
      <c r="T57" s="9">
        <f t="shared" si="6"/>
        <v>0</v>
      </c>
      <c r="U57" s="9">
        <f t="shared" si="6"/>
        <v>0</v>
      </c>
    </row>
    <row r="58" spans="3:25" s="100" customFormat="1" ht="12.75" customHeight="1" x14ac:dyDescent="0.2">
      <c r="C58" s="4" t="s">
        <v>4</v>
      </c>
      <c r="D58" s="4" t="s">
        <v>0</v>
      </c>
      <c r="E58" s="4" t="s">
        <v>5</v>
      </c>
      <c r="F58" s="4"/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6"/>
        <v>0</v>
      </c>
      <c r="R58" s="9">
        <f t="shared" si="6"/>
        <v>0</v>
      </c>
      <c r="S58" s="9">
        <f t="shared" si="6"/>
        <v>0</v>
      </c>
      <c r="T58" s="9">
        <f t="shared" si="6"/>
        <v>0</v>
      </c>
      <c r="U58" s="9">
        <f t="shared" si="6"/>
        <v>0</v>
      </c>
    </row>
    <row r="59" spans="3:25" s="100" customFormat="1" ht="12.75" customHeight="1" x14ac:dyDescent="0.2">
      <c r="C59" s="4" t="s">
        <v>2</v>
      </c>
      <c r="D59" s="4" t="s">
        <v>49</v>
      </c>
      <c r="E59" s="4" t="s">
        <v>5</v>
      </c>
      <c r="F59" s="4"/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6"/>
        <v>110002.81833217319</v>
      </c>
      <c r="R59" s="9">
        <f t="shared" si="6"/>
        <v>0</v>
      </c>
      <c r="S59" s="9">
        <f t="shared" si="6"/>
        <v>0</v>
      </c>
      <c r="T59" s="9">
        <f t="shared" si="6"/>
        <v>0</v>
      </c>
      <c r="U59" s="9">
        <f t="shared" si="6"/>
        <v>0</v>
      </c>
    </row>
    <row r="60" spans="3:25" s="100" customFormat="1" ht="12.75" customHeight="1" x14ac:dyDescent="0.2">
      <c r="C60" s="4" t="s">
        <v>1</v>
      </c>
      <c r="D60" s="4" t="s">
        <v>49</v>
      </c>
      <c r="E60" s="4" t="s">
        <v>5</v>
      </c>
      <c r="F60" s="4"/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6"/>
        <v>370665.1238688805</v>
      </c>
      <c r="R60" s="9">
        <f t="shared" si="6"/>
        <v>0</v>
      </c>
      <c r="S60" s="9">
        <f t="shared" si="6"/>
        <v>0</v>
      </c>
      <c r="T60" s="9">
        <f t="shared" si="6"/>
        <v>0</v>
      </c>
      <c r="U60" s="9">
        <f t="shared" si="6"/>
        <v>0</v>
      </c>
    </row>
    <row r="61" spans="3:25" s="100" customFormat="1" ht="12.75" customHeight="1" x14ac:dyDescent="0.2">
      <c r="C61" s="4" t="s">
        <v>4</v>
      </c>
      <c r="D61" s="4" t="s">
        <v>49</v>
      </c>
      <c r="E61" s="4" t="s">
        <v>5</v>
      </c>
      <c r="F61" s="7"/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6"/>
        <v>582473.76607966935</v>
      </c>
      <c r="R61" s="9">
        <f t="shared" si="6"/>
        <v>0</v>
      </c>
      <c r="S61" s="9">
        <f t="shared" si="6"/>
        <v>0</v>
      </c>
      <c r="T61" s="9">
        <f t="shared" si="6"/>
        <v>0</v>
      </c>
      <c r="U61" s="9">
        <f t="shared" si="6"/>
        <v>0</v>
      </c>
    </row>
    <row r="62" spans="3:25" s="100" customFormat="1" ht="12.75" customHeight="1" x14ac:dyDescent="0.2">
      <c r="C62" s="4" t="s">
        <v>2</v>
      </c>
      <c r="D62" s="4" t="s">
        <v>53</v>
      </c>
      <c r="E62" s="4" t="s">
        <v>5</v>
      </c>
      <c r="F62" s="7"/>
      <c r="G62" s="3"/>
      <c r="H62" s="7"/>
      <c r="I62" s="31"/>
      <c r="J62" s="3"/>
      <c r="K62" s="7"/>
      <c r="L62" s="7"/>
      <c r="M62" s="7"/>
      <c r="N62" s="7"/>
      <c r="O62" s="7"/>
      <c r="P62" s="3"/>
      <c r="Q62" s="9">
        <f t="shared" si="6"/>
        <v>529521.6055269721</v>
      </c>
      <c r="R62" s="9">
        <f t="shared" si="6"/>
        <v>158856.48165809165</v>
      </c>
      <c r="S62" s="9">
        <f t="shared" si="6"/>
        <v>105904.32110539443</v>
      </c>
      <c r="T62" s="9">
        <f t="shared" si="6"/>
        <v>0</v>
      </c>
      <c r="U62" s="9">
        <f t="shared" si="6"/>
        <v>0</v>
      </c>
    </row>
    <row r="63" spans="3:25" s="100" customFormat="1" ht="12.75" customHeight="1" x14ac:dyDescent="0.2">
      <c r="C63" s="4" t="s">
        <v>1</v>
      </c>
      <c r="D63" s="4" t="s">
        <v>53</v>
      </c>
      <c r="E63" s="4" t="s">
        <v>5</v>
      </c>
      <c r="F63" s="7"/>
      <c r="G63" s="3"/>
      <c r="H63" s="7"/>
      <c r="I63" s="31"/>
      <c r="J63" s="3"/>
      <c r="K63" s="7"/>
      <c r="L63" s="7"/>
      <c r="M63" s="7"/>
      <c r="N63" s="7"/>
      <c r="O63" s="7"/>
      <c r="P63" s="3"/>
      <c r="Q63" s="9">
        <f t="shared" si="6"/>
        <v>1853325.6193444026</v>
      </c>
      <c r="R63" s="9">
        <f t="shared" si="6"/>
        <v>555997.68580332072</v>
      </c>
      <c r="S63" s="9">
        <f t="shared" si="6"/>
        <v>370665.1238688805</v>
      </c>
      <c r="T63" s="9">
        <f t="shared" si="6"/>
        <v>0</v>
      </c>
      <c r="U63" s="9">
        <f t="shared" si="6"/>
        <v>0</v>
      </c>
    </row>
    <row r="64" spans="3:25" s="100" customFormat="1" ht="12.75" customHeight="1" x14ac:dyDescent="0.2">
      <c r="C64" s="4" t="s">
        <v>4</v>
      </c>
      <c r="D64" s="4" t="s">
        <v>53</v>
      </c>
      <c r="E64" s="4" t="s">
        <v>5</v>
      </c>
      <c r="F64" s="7"/>
      <c r="G64" s="3"/>
      <c r="H64" s="7"/>
      <c r="I64" s="31"/>
      <c r="J64" s="3"/>
      <c r="K64" s="7"/>
      <c r="L64" s="7"/>
      <c r="M64" s="7"/>
      <c r="N64" s="7"/>
      <c r="O64" s="7"/>
      <c r="P64" s="3"/>
      <c r="Q64" s="9">
        <f t="shared" si="6"/>
        <v>2912368.8303983468</v>
      </c>
      <c r="R64" s="9">
        <f t="shared" si="6"/>
        <v>873710.64911950403</v>
      </c>
      <c r="S64" s="9">
        <f t="shared" si="6"/>
        <v>1111995.3716066414</v>
      </c>
      <c r="T64" s="9">
        <f t="shared" si="6"/>
        <v>0</v>
      </c>
      <c r="U64" s="9">
        <f t="shared" si="6"/>
        <v>529521.6055269721</v>
      </c>
      <c r="W64" s="133"/>
    </row>
    <row r="65" spans="3:26" s="100" customFormat="1" ht="12.75" customHeight="1" x14ac:dyDescent="0.2">
      <c r="C65" s="10" t="s">
        <v>101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P65" s="3"/>
      <c r="Q65" s="11">
        <f>SUM(Q56:Q64)</f>
        <v>6358357.7635504445</v>
      </c>
      <c r="R65" s="11">
        <f t="shared" ref="R65:U65" si="7">SUM(R56:R64)</f>
        <v>1588564.8165809163</v>
      </c>
      <c r="S65" s="11">
        <f t="shared" si="7"/>
        <v>1588564.8165809163</v>
      </c>
      <c r="T65" s="11">
        <f t="shared" si="7"/>
        <v>0</v>
      </c>
      <c r="U65" s="11">
        <f t="shared" si="7"/>
        <v>529521.6055269721</v>
      </c>
      <c r="W65" s="133"/>
    </row>
    <row r="66" spans="3:26" s="100" customFormat="1" ht="12.75" customHeight="1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P66" s="3"/>
      <c r="Q66" s="45"/>
      <c r="R66" s="45"/>
      <c r="S66" s="45"/>
      <c r="T66" s="45"/>
      <c r="U66" s="45"/>
      <c r="W66" s="133"/>
    </row>
    <row r="67" spans="3:26" s="100" customFormat="1" ht="12.75" customHeight="1" x14ac:dyDescent="0.2">
      <c r="C67" s="101" t="s">
        <v>12</v>
      </c>
      <c r="D67" s="101"/>
      <c r="E67" s="101"/>
      <c r="F67" s="101"/>
      <c r="G67" s="3"/>
      <c r="H67" s="101"/>
      <c r="I67" s="101"/>
      <c r="J67" s="3"/>
      <c r="K67" s="101"/>
      <c r="L67" s="101"/>
      <c r="M67" s="101"/>
      <c r="N67" s="101"/>
      <c r="O67" s="101"/>
      <c r="P67" s="3"/>
      <c r="Q67" s="102">
        <f>Q50-Q65</f>
        <v>0</v>
      </c>
      <c r="R67" s="102">
        <f>R50-R65</f>
        <v>0</v>
      </c>
      <c r="S67" s="102">
        <f>S50-S65</f>
        <v>0</v>
      </c>
      <c r="T67" s="102">
        <f>T50-T65</f>
        <v>0</v>
      </c>
      <c r="U67" s="102">
        <f>U50-U65</f>
        <v>0</v>
      </c>
    </row>
    <row r="68" spans="3:26" s="100" customFormat="1" ht="12.75" customHeight="1" x14ac:dyDescent="0.2">
      <c r="I68" s="12"/>
      <c r="P68" s="3"/>
    </row>
    <row r="69" spans="3:26" s="100" customFormat="1" ht="12.75" customHeight="1" x14ac:dyDescent="0.2">
      <c r="I69" s="12"/>
      <c r="P69" s="3"/>
    </row>
    <row r="70" spans="3:26" s="100" customFormat="1" ht="12.75" customHeight="1" x14ac:dyDescent="0.25">
      <c r="C70" s="5" t="s">
        <v>100</v>
      </c>
      <c r="D70" s="7"/>
      <c r="G70" s="3"/>
      <c r="I70" s="12"/>
      <c r="J70" s="3"/>
      <c r="P70" s="3"/>
      <c r="Z70"/>
    </row>
    <row r="71" spans="3:26" s="100" customFormat="1" ht="12.75" customHeight="1" x14ac:dyDescent="0.2">
      <c r="C71" s="28" t="s">
        <v>2</v>
      </c>
      <c r="D71" s="28" t="s">
        <v>0</v>
      </c>
      <c r="E71" s="28" t="s">
        <v>5</v>
      </c>
      <c r="F71" s="155" t="str">
        <f>C71&amp;D71</f>
        <v>LabourVPN</v>
      </c>
      <c r="G71" s="3"/>
      <c r="H71" s="28"/>
      <c r="I71" s="29"/>
      <c r="J71" s="3"/>
      <c r="K71" s="28"/>
      <c r="L71" s="28"/>
      <c r="M71" s="28"/>
      <c r="N71" s="28"/>
      <c r="O71" s="28"/>
      <c r="P71" s="3"/>
      <c r="Q71" s="45">
        <f>Q56+(Q62*Assumptions!$B$37)</f>
        <v>334866.16994231759</v>
      </c>
      <c r="R71" s="45">
        <f>R56+(R62*Assumptions!$B$37)</f>
        <v>100459.85098269529</v>
      </c>
      <c r="S71" s="45">
        <f>S56+(S62*Assumptions!$B$37)</f>
        <v>66973.233988463515</v>
      </c>
      <c r="T71" s="45">
        <f>T56+(T62*Assumptions!$B$37)</f>
        <v>0</v>
      </c>
      <c r="U71" s="45">
        <f>U56+(U62*Assumptions!$B$37)</f>
        <v>0</v>
      </c>
    </row>
    <row r="72" spans="3:26" s="100" customFormat="1" ht="12.75" customHeight="1" x14ac:dyDescent="0.2">
      <c r="C72" s="4" t="s">
        <v>1</v>
      </c>
      <c r="D72" s="4" t="s">
        <v>0</v>
      </c>
      <c r="E72" s="4" t="s">
        <v>5</v>
      </c>
      <c r="F72" s="156" t="str">
        <f t="shared" ref="F72:F76" si="8">C72&amp;D72</f>
        <v>MaterialsVPN</v>
      </c>
      <c r="G72" s="3"/>
      <c r="H72" s="4"/>
      <c r="I72" s="13"/>
      <c r="J72" s="3"/>
      <c r="K72" s="4"/>
      <c r="L72" s="4"/>
      <c r="M72" s="4"/>
      <c r="N72" s="4"/>
      <c r="O72" s="4"/>
      <c r="P72" s="3"/>
      <c r="Q72" s="9">
        <f>Q57+(Q63*Assumptions!$B$37)</f>
        <v>1172031.5947981116</v>
      </c>
      <c r="R72" s="9">
        <f>R57+(R63*Assumptions!$B$37)</f>
        <v>351609.47843943344</v>
      </c>
      <c r="S72" s="9">
        <f>S57+(S63*Assumptions!$B$37)</f>
        <v>234406.31895962232</v>
      </c>
      <c r="T72" s="9">
        <f>T57+(T63*Assumptions!$B$37)</f>
        <v>0</v>
      </c>
      <c r="U72" s="9">
        <f>U57+(U63*Assumptions!$B$37)</f>
        <v>0</v>
      </c>
    </row>
    <row r="73" spans="3:26" s="100" customFormat="1" ht="12.75" customHeight="1" x14ac:dyDescent="0.2">
      <c r="C73" s="4" t="s">
        <v>4</v>
      </c>
      <c r="D73" s="4" t="s">
        <v>0</v>
      </c>
      <c r="E73" s="4" t="s">
        <v>5</v>
      </c>
      <c r="F73" s="156" t="str">
        <f t="shared" si="8"/>
        <v>ContractsVPN</v>
      </c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>Q58+(Q64*Assumptions!$B$37)</f>
        <v>1841763.9346827469</v>
      </c>
      <c r="R73" s="9">
        <f>R58+(R64*Assumptions!$B$37)</f>
        <v>552529.18040482409</v>
      </c>
      <c r="S73" s="9">
        <f>S58+(S64*Assumptions!$B$37)</f>
        <v>703218.95687886688</v>
      </c>
      <c r="T73" s="9">
        <f>T58+(T64*Assumptions!$B$37)</f>
        <v>0</v>
      </c>
      <c r="U73" s="9">
        <f>U58+(U64*Assumptions!$B$37)</f>
        <v>334866.16994231759</v>
      </c>
    </row>
    <row r="74" spans="3:26" s="100" customFormat="1" ht="12.75" customHeight="1" x14ac:dyDescent="0.2">
      <c r="C74" s="4" t="s">
        <v>2</v>
      </c>
      <c r="D74" s="4" t="s">
        <v>49</v>
      </c>
      <c r="E74" s="4" t="s">
        <v>5</v>
      </c>
      <c r="F74" s="156" t="str">
        <f t="shared" si="8"/>
        <v>LabourUE</v>
      </c>
      <c r="G74" s="3"/>
      <c r="H74" s="4"/>
      <c r="I74" s="13"/>
      <c r="J74" s="3"/>
      <c r="K74" s="4"/>
      <c r="L74" s="4"/>
      <c r="M74" s="4"/>
      <c r="N74" s="4"/>
      <c r="O74" s="4"/>
      <c r="P74" s="3"/>
      <c r="Q74" s="157">
        <f>Q59+(Q62*Assumptions!$B$38)</f>
        <v>304658.25391682773</v>
      </c>
      <c r="R74" s="157">
        <f>R59+(R62*Assumptions!$B$38)</f>
        <v>58396.630675396365</v>
      </c>
      <c r="S74" s="157">
        <f>S59+(S62*Assumptions!$B$38)</f>
        <v>38931.087116930903</v>
      </c>
      <c r="T74" s="157">
        <f>T59+(T62*Assumptions!$B$38)</f>
        <v>0</v>
      </c>
      <c r="U74" s="157">
        <f>U59+(U62*Assumptions!$B$38)</f>
        <v>0</v>
      </c>
    </row>
    <row r="75" spans="3:26" s="100" customFormat="1" ht="12.75" customHeight="1" x14ac:dyDescent="0.2">
      <c r="C75" s="4" t="s">
        <v>1</v>
      </c>
      <c r="D75" s="4" t="s">
        <v>49</v>
      </c>
      <c r="E75" s="4" t="s">
        <v>5</v>
      </c>
      <c r="F75" s="156" t="str">
        <f t="shared" si="8"/>
        <v>MaterialsUE</v>
      </c>
      <c r="G75" s="3"/>
      <c r="H75" s="4"/>
      <c r="I75" s="13"/>
      <c r="J75" s="3"/>
      <c r="K75" s="4"/>
      <c r="L75" s="4"/>
      <c r="M75" s="4"/>
      <c r="N75" s="4"/>
      <c r="O75" s="4"/>
      <c r="P75" s="3"/>
      <c r="Q75" s="157">
        <f>Q60+(Q63*Assumptions!$B$38)</f>
        <v>1051959.1484151713</v>
      </c>
      <c r="R75" s="157">
        <f>R60+(R63*Assumptions!$B$38)</f>
        <v>204388.20736388725</v>
      </c>
      <c r="S75" s="157">
        <f>S60+(S63*Assumptions!$B$38)</f>
        <v>136258.80490925818</v>
      </c>
      <c r="T75" s="157">
        <f>T60+(T63*Assumptions!$B$38)</f>
        <v>0</v>
      </c>
      <c r="U75" s="157">
        <f>U60+(U63*Assumptions!$B$38)</f>
        <v>0</v>
      </c>
    </row>
    <row r="76" spans="3:26" s="100" customFormat="1" ht="12.75" customHeight="1" x14ac:dyDescent="0.2">
      <c r="C76" s="4" t="s">
        <v>4</v>
      </c>
      <c r="D76" s="4" t="s">
        <v>49</v>
      </c>
      <c r="E76" s="4" t="s">
        <v>5</v>
      </c>
      <c r="F76" s="156" t="str">
        <f t="shared" si="8"/>
        <v>ContractsUE</v>
      </c>
      <c r="G76" s="3"/>
      <c r="H76" s="7"/>
      <c r="I76" s="31"/>
      <c r="J76" s="3"/>
      <c r="K76" s="7"/>
      <c r="L76" s="7"/>
      <c r="M76" s="7"/>
      <c r="N76" s="7"/>
      <c r="O76" s="7"/>
      <c r="P76" s="3"/>
      <c r="Q76" s="157">
        <f>Q61+(Q64*Assumptions!$B$38)</f>
        <v>1653078.6617952692</v>
      </c>
      <c r="R76" s="157">
        <f>R61+(R64*Assumptions!$B$38)</f>
        <v>321181.46871468</v>
      </c>
      <c r="S76" s="157">
        <f>S61+(S64*Assumptions!$B$38)</f>
        <v>408776.41472777451</v>
      </c>
      <c r="T76" s="157">
        <f>T61+(T64*Assumptions!$B$38)</f>
        <v>0</v>
      </c>
      <c r="U76" s="157">
        <f>U61+(U64*Assumptions!$B$38)</f>
        <v>194655.43558465451</v>
      </c>
    </row>
    <row r="77" spans="3:26" s="100" customFormat="1" ht="12.75" customHeight="1" x14ac:dyDescent="0.2">
      <c r="C77" s="10" t="s">
        <v>101</v>
      </c>
      <c r="D77" s="10"/>
      <c r="E77" s="10"/>
      <c r="F77" s="10"/>
      <c r="G77" s="3"/>
      <c r="H77" s="10"/>
      <c r="I77" s="14"/>
      <c r="J77" s="3"/>
      <c r="K77" s="10"/>
      <c r="L77" s="10"/>
      <c r="M77" s="10"/>
      <c r="N77" s="10"/>
      <c r="O77" s="10"/>
      <c r="P77" s="3"/>
      <c r="Q77" s="11">
        <f>SUM(Q71:Q76)</f>
        <v>6358357.7635504454</v>
      </c>
      <c r="R77" s="11">
        <f t="shared" ref="R77:U77" si="9">SUM(R71:R76)</f>
        <v>1588564.8165809165</v>
      </c>
      <c r="S77" s="11">
        <f t="shared" si="9"/>
        <v>1588564.8165809163</v>
      </c>
      <c r="T77" s="11">
        <f t="shared" si="9"/>
        <v>0</v>
      </c>
      <c r="U77" s="11">
        <f t="shared" si="9"/>
        <v>529521.6055269721</v>
      </c>
      <c r="V77" s="44"/>
    </row>
    <row r="78" spans="3:26" s="100" customFormat="1" x14ac:dyDescent="0.2">
      <c r="I78" s="12"/>
    </row>
    <row r="79" spans="3:26" s="100" customFormat="1" ht="12.75" customHeight="1" x14ac:dyDescent="0.2">
      <c r="C79" s="101" t="s">
        <v>12</v>
      </c>
      <c r="D79" s="101"/>
      <c r="E79" s="101"/>
      <c r="F79" s="101"/>
      <c r="G79" s="3"/>
      <c r="H79" s="101"/>
      <c r="I79" s="101"/>
      <c r="J79" s="3"/>
      <c r="K79" s="101"/>
      <c r="L79" s="101"/>
      <c r="M79" s="101"/>
      <c r="N79" s="101"/>
      <c r="O79" s="101"/>
      <c r="P79" s="3"/>
      <c r="Q79" s="102">
        <f>Q50-Q77</f>
        <v>0</v>
      </c>
      <c r="R79" s="102">
        <f>R50-R77</f>
        <v>0</v>
      </c>
      <c r="S79" s="102">
        <f>S50-S77</f>
        <v>0</v>
      </c>
      <c r="T79" s="102">
        <f>T50-T77</f>
        <v>0</v>
      </c>
      <c r="U79" s="102">
        <f>U50-U77</f>
        <v>0</v>
      </c>
      <c r="W79" s="102">
        <f>SUM(Q79:U79)</f>
        <v>0</v>
      </c>
    </row>
    <row r="81" spans="3:5" x14ac:dyDescent="0.2">
      <c r="C81" s="159" t="str">
        <f>"NPV ($ "&amp;Assumptions!$B$17&amp;")"</f>
        <v>NPV ($ 2020/21)</v>
      </c>
      <c r="D81" s="159"/>
      <c r="E81" s="160">
        <f>NPV(Assumptions!$B$6,$Q$50:$U$50)</f>
        <v>9619605.7842373773</v>
      </c>
    </row>
  </sheetData>
  <conditionalFormatting sqref="W51">
    <cfRule type="expression" dxfId="4" priority="7">
      <formula>ABS(W51)&gt;0.001</formula>
    </cfRule>
  </conditionalFormatting>
  <conditionalFormatting sqref="Q51:U51">
    <cfRule type="expression" dxfId="3" priority="6">
      <formula>ABS(Q51)&gt;0.001</formula>
    </cfRule>
  </conditionalFormatting>
  <conditionalFormatting sqref="Q79:U79">
    <cfRule type="expression" dxfId="2" priority="2">
      <formula>ABS(Q79)&gt;0.001</formula>
    </cfRule>
  </conditionalFormatting>
  <conditionalFormatting sqref="Q67:U67">
    <cfRule type="expression" dxfId="1" priority="1">
      <formula>ABS(Q67)&gt;0.001</formula>
    </cfRule>
  </conditionalFormatting>
  <conditionalFormatting sqref="W79">
    <cfRule type="expression" dxfId="0" priority="3">
      <formula>ABS(W79)&gt;0.001</formula>
    </cfRule>
  </conditionalFormatting>
  <dataValidations count="3">
    <dataValidation type="list" allowBlank="1" showInputMessage="1" showErrorMessage="1" sqref="F29:F39 F15:F18 F10:F13 F21:F26">
      <formula1>"Labour, Materials, Contracts"</formula1>
    </dataValidation>
    <dataValidation type="list" allowBlank="1" showInputMessage="1" showErrorMessage="1" sqref="E29:E39 E15:E18 E10:E13 E21:E26">
      <formula1>"CapEx, OpEx"</formula1>
    </dataValidation>
    <dataValidation type="list" allowBlank="1" showInputMessage="1" showErrorMessage="1" sqref="D10:D18 D21:D26 D29:D39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1924"/>
  <sheetViews>
    <sheetView showGridLines="0" zoomScale="90" zoomScaleNormal="90" workbookViewId="0"/>
  </sheetViews>
  <sheetFormatPr defaultRowHeight="15" x14ac:dyDescent="0.25"/>
  <cols>
    <col min="1" max="1" width="4.5703125" customWidth="1"/>
    <col min="2" max="2" width="2.42578125" customWidth="1"/>
    <col min="3" max="3" width="58.28515625" bestFit="1" customWidth="1"/>
    <col min="5" max="7" width="16.5703125" bestFit="1" customWidth="1"/>
    <col min="8" max="8" width="2.5703125" customWidth="1"/>
    <col min="9" max="9" width="16.5703125" bestFit="1" customWidth="1"/>
  </cols>
  <sheetData>
    <row r="1" spans="1:23" s="100" customFormat="1" ht="21" x14ac:dyDescent="0.35">
      <c r="A1" s="18" t="str">
        <f>Assumptions!A1</f>
        <v>Telephony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s="100" customFormat="1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x14ac:dyDescent="0.25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19"/>
    </row>
    <row r="4" spans="1:23" s="100" customFormat="1" ht="12.75" x14ac:dyDescent="0.2"/>
    <row r="5" spans="1:23" s="100" customFormat="1" ht="12.75" x14ac:dyDescent="0.2">
      <c r="E5" s="151" t="s">
        <v>74</v>
      </c>
      <c r="F5" s="151" t="s">
        <v>65</v>
      </c>
      <c r="G5" s="151" t="s">
        <v>0</v>
      </c>
      <c r="H5" s="151"/>
      <c r="I5" s="151" t="s">
        <v>49</v>
      </c>
      <c r="J5" s="151" t="s">
        <v>87</v>
      </c>
    </row>
    <row r="6" spans="1:23" s="100" customFormat="1" ht="12.75" x14ac:dyDescent="0.2">
      <c r="B6" s="144" t="s">
        <v>69</v>
      </c>
    </row>
    <row r="7" spans="1:23" s="100" customFormat="1" ht="12.75" x14ac:dyDescent="0.2">
      <c r="C7" s="100" t="s">
        <v>70</v>
      </c>
      <c r="D7" s="12" t="s">
        <v>73</v>
      </c>
      <c r="E7" s="112">
        <v>304231</v>
      </c>
      <c r="F7" s="112">
        <v>819837</v>
      </c>
      <c r="G7" s="153">
        <f>SUM(E7:F7)</f>
        <v>1124068</v>
      </c>
      <c r="H7" s="153"/>
      <c r="I7" s="112">
        <v>676696</v>
      </c>
    </row>
    <row r="8" spans="1:23" s="100" customFormat="1" ht="12.75" x14ac:dyDescent="0.2">
      <c r="C8" s="100" t="s">
        <v>71</v>
      </c>
      <c r="D8" s="12" t="s">
        <v>73</v>
      </c>
      <c r="E8" s="112">
        <v>59391</v>
      </c>
      <c r="F8" s="112">
        <v>112413</v>
      </c>
      <c r="G8" s="153">
        <f>SUM(E8:F8)</f>
        <v>171804</v>
      </c>
      <c r="H8" s="153"/>
      <c r="I8" s="112">
        <v>58772</v>
      </c>
    </row>
    <row r="9" spans="1:23" s="100" customFormat="1" ht="12.75" x14ac:dyDescent="0.2">
      <c r="C9" s="100" t="s">
        <v>72</v>
      </c>
      <c r="D9" s="12" t="s">
        <v>73</v>
      </c>
      <c r="E9" s="145">
        <f>SUM(E7:E8)</f>
        <v>363622</v>
      </c>
      <c r="F9" s="145">
        <f t="shared" ref="F9:I9" si="0">SUM(F7:F8)</f>
        <v>932250</v>
      </c>
      <c r="G9" s="145">
        <f t="shared" si="0"/>
        <v>1295872</v>
      </c>
      <c r="I9" s="145">
        <f t="shared" si="0"/>
        <v>735468</v>
      </c>
    </row>
    <row r="10" spans="1:23" s="100" customFormat="1" ht="12.75" x14ac:dyDescent="0.2"/>
    <row r="11" spans="1:23" s="100" customFormat="1" ht="12.75" x14ac:dyDescent="0.2">
      <c r="B11" s="144" t="s">
        <v>75</v>
      </c>
    </row>
    <row r="12" spans="1:23" s="100" customFormat="1" x14ac:dyDescent="0.25">
      <c r="C12" s="100" t="s">
        <v>76</v>
      </c>
      <c r="D12" s="12" t="s">
        <v>79</v>
      </c>
      <c r="E12" s="148">
        <v>1190.3</v>
      </c>
      <c r="F12" s="148">
        <v>1190.3</v>
      </c>
      <c r="G12" s="148">
        <v>1190.3</v>
      </c>
      <c r="I12" s="148">
        <v>1190.3</v>
      </c>
      <c r="J12" s="147" t="s">
        <v>86</v>
      </c>
    </row>
    <row r="13" spans="1:23" s="100" customFormat="1" ht="12.75" x14ac:dyDescent="0.2">
      <c r="C13" s="100" t="s">
        <v>77</v>
      </c>
      <c r="D13" s="12" t="s">
        <v>79</v>
      </c>
      <c r="E13" s="146">
        <f>E12/(7*24*60)</f>
        <v>0.11808531746031746</v>
      </c>
      <c r="F13" s="146">
        <f t="shared" ref="F13:I13" si="1">F12/(7*24*60)</f>
        <v>0.11808531746031746</v>
      </c>
      <c r="G13" s="146">
        <f t="shared" si="1"/>
        <v>0.11808531746031746</v>
      </c>
      <c r="I13" s="146">
        <f t="shared" si="1"/>
        <v>0.11808531746031746</v>
      </c>
    </row>
    <row r="14" spans="1:23" s="100" customFormat="1" ht="12.75" x14ac:dyDescent="0.2">
      <c r="C14" s="100" t="s">
        <v>78</v>
      </c>
      <c r="D14" s="12" t="s">
        <v>80</v>
      </c>
      <c r="E14" s="146">
        <f>E13*(1+Assumptions!$H$13)</f>
        <v>0.11996632251720749</v>
      </c>
      <c r="F14" s="146">
        <f>F13*(1+Assumptions!$H$13)</f>
        <v>0.11996632251720749</v>
      </c>
      <c r="G14" s="146">
        <f>G13*(1+Assumptions!$H$13)</f>
        <v>0.11996632251720749</v>
      </c>
      <c r="I14" s="146">
        <f>I13*(1+Assumptions!$H$13)</f>
        <v>0.11996632251720749</v>
      </c>
    </row>
    <row r="15" spans="1:23" s="100" customFormat="1" ht="12.75" x14ac:dyDescent="0.2"/>
    <row r="16" spans="1:23" s="100" customFormat="1" x14ac:dyDescent="0.25">
      <c r="B16" s="144" t="s">
        <v>81</v>
      </c>
      <c r="J16" s="147" t="s">
        <v>89</v>
      </c>
    </row>
    <row r="17" spans="2:10" s="100" customFormat="1" x14ac:dyDescent="0.25">
      <c r="C17" s="100" t="s">
        <v>82</v>
      </c>
      <c r="D17" s="12" t="s">
        <v>80</v>
      </c>
      <c r="E17" s="148">
        <v>165015000000</v>
      </c>
      <c r="F17" s="148">
        <v>165015000000</v>
      </c>
      <c r="G17" s="148">
        <v>165015000000</v>
      </c>
      <c r="I17" s="148">
        <v>165015000000</v>
      </c>
      <c r="J17" s="147" t="s">
        <v>90</v>
      </c>
    </row>
    <row r="18" spans="2:10" s="100" customFormat="1" x14ac:dyDescent="0.25">
      <c r="C18" s="100" t="s">
        <v>83</v>
      </c>
      <c r="D18" s="12" t="s">
        <v>88</v>
      </c>
      <c r="E18" s="112">
        <v>618189</v>
      </c>
      <c r="F18" s="112">
        <v>618189</v>
      </c>
      <c r="G18" s="112">
        <v>618189</v>
      </c>
      <c r="I18" s="112">
        <v>618189</v>
      </c>
      <c r="J18" s="147" t="s">
        <v>91</v>
      </c>
    </row>
    <row r="19" spans="2:10" s="100" customFormat="1" ht="12.75" x14ac:dyDescent="0.2">
      <c r="C19" s="100" t="s">
        <v>84</v>
      </c>
      <c r="D19" s="12" t="s">
        <v>80</v>
      </c>
      <c r="E19" s="149">
        <f>E17/E18</f>
        <v>266932.92827921559</v>
      </c>
      <c r="F19" s="149">
        <f t="shared" ref="F19:I19" si="2">F17/F18</f>
        <v>266932.92827921559</v>
      </c>
      <c r="G19" s="149">
        <f t="shared" si="2"/>
        <v>266932.92827921559</v>
      </c>
      <c r="I19" s="149">
        <f t="shared" si="2"/>
        <v>266932.92827921559</v>
      </c>
    </row>
    <row r="20" spans="2:10" s="100" customFormat="1" ht="12.75" x14ac:dyDescent="0.2">
      <c r="C20" s="100" t="s">
        <v>85</v>
      </c>
      <c r="D20" s="12" t="s">
        <v>80</v>
      </c>
      <c r="E20" s="146">
        <f>E19/(365*24*60)</f>
        <v>0.50786325776106467</v>
      </c>
      <c r="F20" s="146">
        <f t="shared" ref="F20:I20" si="3">F19/(365*24*60)</f>
        <v>0.50786325776106467</v>
      </c>
      <c r="G20" s="146">
        <f t="shared" si="3"/>
        <v>0.50786325776106467</v>
      </c>
      <c r="I20" s="146">
        <f t="shared" si="3"/>
        <v>0.50786325776106467</v>
      </c>
    </row>
    <row r="21" spans="2:10" s="100" customFormat="1" ht="12.75" x14ac:dyDescent="0.2"/>
    <row r="22" spans="2:10" s="100" customFormat="1" ht="12.75" x14ac:dyDescent="0.2">
      <c r="B22" s="100" t="s">
        <v>92</v>
      </c>
      <c r="D22" s="12" t="s">
        <v>80</v>
      </c>
      <c r="E22" s="150">
        <f>((E7*E14)+(E8*E20))/E9</f>
        <v>0.18332218899687019</v>
      </c>
      <c r="F22" s="150">
        <f t="shared" ref="F22:G22" si="4">((F7*F14)+(F8*F20))/F9</f>
        <v>0.16673988988815705</v>
      </c>
      <c r="G22" s="150">
        <f t="shared" si="4"/>
        <v>0.17139288707191325</v>
      </c>
      <c r="I22" s="150">
        <f t="shared" ref="I22" si="5">((I7*I14)+(I8*I20))/I9</f>
        <v>0.15096356329199576</v>
      </c>
    </row>
    <row r="23" spans="2:10" s="100" customFormat="1" ht="12.75" x14ac:dyDescent="0.2">
      <c r="B23" s="144" t="s">
        <v>92</v>
      </c>
      <c r="D23" s="12" t="s">
        <v>93</v>
      </c>
      <c r="E23" s="150">
        <f>E22/Assumptions!$H$14*Assumptions!$J$14</f>
        <v>0.19110201677067271</v>
      </c>
      <c r="F23" s="150">
        <f>F22/Assumptions!$H$14*Assumptions!$J$14</f>
        <v>0.17381599798751435</v>
      </c>
      <c r="G23" s="150">
        <f>G22/Assumptions!$H$14*Assumptions!$J$14</f>
        <v>0.17866645908395723</v>
      </c>
      <c r="I23" s="150">
        <f>I22/Assumptions!$H$14*Assumptions!$J$14</f>
        <v>0.1573701555815484</v>
      </c>
    </row>
    <row r="24" spans="2:10" s="100" customFormat="1" ht="12.75" x14ac:dyDescent="0.2"/>
    <row r="25" spans="2:10" s="100" customFormat="1" ht="12.75" x14ac:dyDescent="0.2"/>
    <row r="26" spans="2:10" s="100" customFormat="1" ht="12.75" x14ac:dyDescent="0.2"/>
    <row r="27" spans="2:10" s="100" customFormat="1" ht="12.75" x14ac:dyDescent="0.2">
      <c r="B27" s="122"/>
      <c r="C27" s="122"/>
      <c r="D27" s="122"/>
      <c r="E27" s="122"/>
      <c r="F27" s="122"/>
      <c r="G27" s="122" t="s">
        <v>17</v>
      </c>
      <c r="I27" s="122" t="s">
        <v>17</v>
      </c>
    </row>
    <row r="28" spans="2:10" s="100" customFormat="1" ht="12.75" x14ac:dyDescent="0.2">
      <c r="G28" s="122" t="s">
        <v>0</v>
      </c>
      <c r="I28" s="122" t="s">
        <v>49</v>
      </c>
    </row>
    <row r="29" spans="2:10" s="100" customFormat="1" ht="12.75" x14ac:dyDescent="0.2">
      <c r="B29" s="144" t="s">
        <v>94</v>
      </c>
    </row>
    <row r="30" spans="2:10" s="100" customFormat="1" ht="12.75" x14ac:dyDescent="0.2">
      <c r="C30" s="100" t="s">
        <v>98</v>
      </c>
      <c r="D30" s="12" t="s">
        <v>93</v>
      </c>
      <c r="G30" s="152">
        <f>'Option 2'!$R$50</f>
        <v>1588564.8165809165</v>
      </c>
      <c r="I30" s="152">
        <f>'Option 2'!$R$50</f>
        <v>1588564.8165809165</v>
      </c>
    </row>
    <row r="31" spans="2:10" s="100" customFormat="1" ht="12.75" x14ac:dyDescent="0.2">
      <c r="C31" s="100" t="s">
        <v>99</v>
      </c>
      <c r="D31" s="12" t="s">
        <v>93</v>
      </c>
      <c r="G31" s="152">
        <f>Summary!G39</f>
        <v>0</v>
      </c>
      <c r="H31" s="152"/>
      <c r="I31" s="152">
        <f>Summary!G40</f>
        <v>0</v>
      </c>
    </row>
    <row r="32" spans="2:10" s="100" customFormat="1" ht="12.75" x14ac:dyDescent="0.2">
      <c r="C32" s="100" t="s">
        <v>54</v>
      </c>
      <c r="D32" s="12"/>
      <c r="G32" s="152">
        <f>NPV(Assumptions!$B$6,Benefits!G31)</f>
        <v>0</v>
      </c>
      <c r="H32" s="152"/>
      <c r="I32" s="152">
        <f>NPV(Assumptions!$B$6,Benefits!I31)</f>
        <v>0</v>
      </c>
    </row>
    <row r="33" spans="3:9" s="100" customFormat="1" ht="12.75" x14ac:dyDescent="0.2">
      <c r="D33" s="12"/>
      <c r="F33" s="152"/>
    </row>
    <row r="34" spans="3:9" s="100" customFormat="1" ht="12.75" x14ac:dyDescent="0.2">
      <c r="D34" s="12"/>
      <c r="F34" s="152"/>
    </row>
    <row r="35" spans="3:9" s="100" customFormat="1" ht="12.75" x14ac:dyDescent="0.2">
      <c r="C35" s="100" t="s">
        <v>95</v>
      </c>
      <c r="D35" s="12" t="s">
        <v>93</v>
      </c>
      <c r="G35" s="133">
        <f>G32/G9</f>
        <v>0</v>
      </c>
      <c r="H35" s="133"/>
      <c r="I35" s="133">
        <f>I32/I9</f>
        <v>0</v>
      </c>
    </row>
    <row r="36" spans="3:9" s="100" customFormat="1" ht="12.75" x14ac:dyDescent="0.2">
      <c r="C36" s="144" t="s">
        <v>96</v>
      </c>
      <c r="D36" s="151" t="s">
        <v>97</v>
      </c>
      <c r="E36" s="144"/>
      <c r="F36" s="144"/>
      <c r="G36" s="154">
        <f>G35/G23</f>
        <v>0</v>
      </c>
      <c r="H36" s="154"/>
      <c r="I36" s="154">
        <f>I35/I23</f>
        <v>0</v>
      </c>
    </row>
    <row r="37" spans="3:9" s="100" customFormat="1" ht="12.75" x14ac:dyDescent="0.2"/>
    <row r="38" spans="3:9" s="100" customFormat="1" ht="12.75" x14ac:dyDescent="0.2"/>
    <row r="39" spans="3:9" s="100" customFormat="1" ht="12.75" x14ac:dyDescent="0.2"/>
    <row r="40" spans="3:9" s="100" customFormat="1" ht="12.75" x14ac:dyDescent="0.2"/>
    <row r="41" spans="3:9" s="100" customFormat="1" ht="12.75" x14ac:dyDescent="0.2"/>
    <row r="42" spans="3:9" s="100" customFormat="1" ht="12.75" x14ac:dyDescent="0.2"/>
    <row r="43" spans="3:9" s="100" customFormat="1" ht="12.75" x14ac:dyDescent="0.2"/>
    <row r="44" spans="3:9" s="100" customFormat="1" ht="12.75" x14ac:dyDescent="0.2"/>
    <row r="45" spans="3:9" s="100" customFormat="1" ht="12.75" x14ac:dyDescent="0.2"/>
    <row r="46" spans="3:9" s="100" customFormat="1" ht="12.75" x14ac:dyDescent="0.2"/>
    <row r="47" spans="3:9" s="100" customFormat="1" ht="12.75" x14ac:dyDescent="0.2"/>
    <row r="48" spans="3:9" s="100" customFormat="1" ht="12.75" x14ac:dyDescent="0.2"/>
    <row r="49" s="100" customFormat="1" ht="12.75" x14ac:dyDescent="0.2"/>
    <row r="50" s="100" customFormat="1" ht="12.75" x14ac:dyDescent="0.2"/>
    <row r="51" s="100" customFormat="1" ht="12.75" x14ac:dyDescent="0.2"/>
    <row r="52" s="100" customFormat="1" ht="12.75" x14ac:dyDescent="0.2"/>
    <row r="53" s="100" customFormat="1" ht="12.75" x14ac:dyDescent="0.2"/>
    <row r="54" s="100" customFormat="1" ht="12.75" x14ac:dyDescent="0.2"/>
    <row r="55" s="100" customFormat="1" ht="12.75" x14ac:dyDescent="0.2"/>
    <row r="56" s="100" customFormat="1" ht="12.75" x14ac:dyDescent="0.2"/>
    <row r="57" s="100" customFormat="1" ht="12.75" x14ac:dyDescent="0.2"/>
    <row r="58" s="100" customFormat="1" ht="12.75" x14ac:dyDescent="0.2"/>
    <row r="59" s="100" customFormat="1" ht="12.75" x14ac:dyDescent="0.2"/>
    <row r="60" s="100" customFormat="1" ht="12.75" x14ac:dyDescent="0.2"/>
    <row r="61" s="100" customFormat="1" ht="12.75" x14ac:dyDescent="0.2"/>
    <row r="62" s="100" customFormat="1" ht="12.75" x14ac:dyDescent="0.2"/>
    <row r="63" s="100" customFormat="1" ht="12.75" x14ac:dyDescent="0.2"/>
    <row r="64" s="100" customFormat="1" ht="12.75" x14ac:dyDescent="0.2"/>
    <row r="65" s="100" customFormat="1" ht="12.75" x14ac:dyDescent="0.2"/>
    <row r="66" s="100" customFormat="1" ht="12.75" x14ac:dyDescent="0.2"/>
    <row r="67" s="100" customFormat="1" ht="12.75" x14ac:dyDescent="0.2"/>
    <row r="68" s="100" customFormat="1" ht="12.75" x14ac:dyDescent="0.2"/>
    <row r="69" s="100" customFormat="1" ht="12.75" x14ac:dyDescent="0.2"/>
    <row r="70" s="100" customFormat="1" ht="12.75" x14ac:dyDescent="0.2"/>
    <row r="71" s="100" customFormat="1" ht="12.75" x14ac:dyDescent="0.2"/>
    <row r="72" s="100" customFormat="1" ht="12.75" x14ac:dyDescent="0.2"/>
    <row r="73" s="100" customFormat="1" ht="12.75" x14ac:dyDescent="0.2"/>
    <row r="74" s="100" customFormat="1" ht="12.75" x14ac:dyDescent="0.2"/>
    <row r="75" s="100" customFormat="1" ht="12.75" x14ac:dyDescent="0.2"/>
    <row r="76" s="100" customFormat="1" ht="12.75" x14ac:dyDescent="0.2"/>
    <row r="77" s="100" customFormat="1" ht="12.75" x14ac:dyDescent="0.2"/>
    <row r="78" s="100" customFormat="1" ht="12.75" x14ac:dyDescent="0.2"/>
    <row r="79" s="100" customFormat="1" ht="12.75" x14ac:dyDescent="0.2"/>
    <row r="80" s="100" customFormat="1" ht="12.75" x14ac:dyDescent="0.2"/>
    <row r="81" s="100" customFormat="1" ht="12.75" x14ac:dyDescent="0.2"/>
    <row r="82" s="100" customFormat="1" ht="12.75" x14ac:dyDescent="0.2"/>
    <row r="83" s="100" customFormat="1" ht="12.75" x14ac:dyDescent="0.2"/>
    <row r="84" s="100" customFormat="1" ht="12.75" x14ac:dyDescent="0.2"/>
    <row r="85" s="100" customFormat="1" ht="12.75" x14ac:dyDescent="0.2"/>
    <row r="86" s="100" customFormat="1" ht="12.75" x14ac:dyDescent="0.2"/>
    <row r="87" s="100" customFormat="1" ht="12.75" x14ac:dyDescent="0.2"/>
    <row r="88" s="100" customFormat="1" ht="12.75" x14ac:dyDescent="0.2"/>
    <row r="89" s="100" customFormat="1" ht="12.75" x14ac:dyDescent="0.2"/>
    <row r="90" s="100" customFormat="1" ht="12.75" x14ac:dyDescent="0.2"/>
    <row r="91" s="100" customFormat="1" ht="12.75" x14ac:dyDescent="0.2"/>
    <row r="92" s="100" customFormat="1" ht="12.75" x14ac:dyDescent="0.2"/>
    <row r="93" s="100" customFormat="1" ht="12.75" x14ac:dyDescent="0.2"/>
    <row r="94" s="100" customFormat="1" ht="12.75" x14ac:dyDescent="0.2"/>
    <row r="95" s="100" customFormat="1" ht="12.75" x14ac:dyDescent="0.2"/>
    <row r="96" s="100" customFormat="1" ht="12.75" x14ac:dyDescent="0.2"/>
    <row r="97" s="100" customFormat="1" ht="12.75" x14ac:dyDescent="0.2"/>
    <row r="98" s="100" customFormat="1" ht="12.75" x14ac:dyDescent="0.2"/>
    <row r="99" s="100" customFormat="1" ht="12.75" x14ac:dyDescent="0.2"/>
    <row r="100" s="100" customFormat="1" ht="12.75" x14ac:dyDescent="0.2"/>
    <row r="101" s="100" customFormat="1" ht="12.75" x14ac:dyDescent="0.2"/>
    <row r="102" s="100" customFormat="1" ht="12.75" x14ac:dyDescent="0.2"/>
    <row r="103" s="100" customFormat="1" ht="12.75" x14ac:dyDescent="0.2"/>
    <row r="104" s="100" customFormat="1" ht="12.75" x14ac:dyDescent="0.2"/>
    <row r="105" s="100" customFormat="1" ht="12.75" x14ac:dyDescent="0.2"/>
    <row r="106" s="100" customFormat="1" ht="12.75" x14ac:dyDescent="0.2"/>
    <row r="107" s="100" customFormat="1" ht="12.75" x14ac:dyDescent="0.2"/>
    <row r="108" s="100" customFormat="1" ht="12.75" x14ac:dyDescent="0.2"/>
    <row r="109" s="100" customFormat="1" ht="12.75" x14ac:dyDescent="0.2"/>
    <row r="110" s="100" customFormat="1" ht="12.75" x14ac:dyDescent="0.2"/>
    <row r="111" s="100" customFormat="1" ht="12.75" x14ac:dyDescent="0.2"/>
    <row r="112" s="100" customFormat="1" ht="12.75" x14ac:dyDescent="0.2"/>
    <row r="113" s="100" customFormat="1" ht="12.75" x14ac:dyDescent="0.2"/>
    <row r="114" s="100" customFormat="1" ht="12.75" x14ac:dyDescent="0.2"/>
    <row r="115" s="100" customFormat="1" ht="12.75" x14ac:dyDescent="0.2"/>
    <row r="116" s="100" customFormat="1" ht="12.75" x14ac:dyDescent="0.2"/>
    <row r="117" s="100" customFormat="1" ht="12.75" x14ac:dyDescent="0.2"/>
    <row r="118" s="100" customFormat="1" ht="12.75" x14ac:dyDescent="0.2"/>
    <row r="119" s="100" customFormat="1" ht="12.75" x14ac:dyDescent="0.2"/>
    <row r="120" s="100" customFormat="1" ht="12.75" x14ac:dyDescent="0.2"/>
    <row r="121" s="100" customFormat="1" ht="12.75" x14ac:dyDescent="0.2"/>
    <row r="122" s="100" customFormat="1" ht="12.75" x14ac:dyDescent="0.2"/>
    <row r="123" s="100" customFormat="1" ht="12.75" x14ac:dyDescent="0.2"/>
    <row r="124" s="100" customFormat="1" ht="12.75" x14ac:dyDescent="0.2"/>
    <row r="125" s="100" customFormat="1" ht="12.75" x14ac:dyDescent="0.2"/>
    <row r="126" s="100" customFormat="1" ht="12.75" x14ac:dyDescent="0.2"/>
    <row r="127" s="100" customFormat="1" ht="12.75" x14ac:dyDescent="0.2"/>
    <row r="128" s="100" customFormat="1" ht="12.75" x14ac:dyDescent="0.2"/>
    <row r="129" s="100" customFormat="1" ht="12.75" x14ac:dyDescent="0.2"/>
    <row r="130" s="100" customFormat="1" ht="12.75" x14ac:dyDescent="0.2"/>
    <row r="131" s="100" customFormat="1" ht="12.75" x14ac:dyDescent="0.2"/>
    <row r="132" s="100" customFormat="1" ht="12.75" x14ac:dyDescent="0.2"/>
    <row r="133" s="100" customFormat="1" ht="12.75" x14ac:dyDescent="0.2"/>
    <row r="134" s="100" customFormat="1" ht="12.75" x14ac:dyDescent="0.2"/>
    <row r="135" s="100" customFormat="1" ht="12.75" x14ac:dyDescent="0.2"/>
    <row r="136" s="100" customFormat="1" ht="12.75" x14ac:dyDescent="0.2"/>
    <row r="137" s="100" customFormat="1" ht="12.75" x14ac:dyDescent="0.2"/>
    <row r="138" s="100" customFormat="1" ht="12.75" x14ac:dyDescent="0.2"/>
    <row r="139" s="100" customFormat="1" ht="12.75" x14ac:dyDescent="0.2"/>
    <row r="140" s="100" customFormat="1" ht="12.75" x14ac:dyDescent="0.2"/>
    <row r="141" s="100" customFormat="1" ht="12.75" x14ac:dyDescent="0.2"/>
    <row r="142" s="100" customFormat="1" ht="12.75" x14ac:dyDescent="0.2"/>
    <row r="143" s="100" customFormat="1" ht="12.75" x14ac:dyDescent="0.2"/>
    <row r="144" s="100" customFormat="1" ht="12.75" x14ac:dyDescent="0.2"/>
    <row r="145" s="100" customFormat="1" ht="12.75" x14ac:dyDescent="0.2"/>
    <row r="146" s="100" customFormat="1" ht="12.75" x14ac:dyDescent="0.2"/>
    <row r="147" s="100" customFormat="1" ht="12.75" x14ac:dyDescent="0.2"/>
    <row r="148" s="100" customFormat="1" ht="12.75" x14ac:dyDescent="0.2"/>
    <row r="149" s="100" customFormat="1" ht="12.75" x14ac:dyDescent="0.2"/>
    <row r="150" s="100" customFormat="1" ht="12.75" x14ac:dyDescent="0.2"/>
    <row r="151" s="100" customFormat="1" ht="12.75" x14ac:dyDescent="0.2"/>
    <row r="152" s="100" customFormat="1" ht="12.75" x14ac:dyDescent="0.2"/>
    <row r="153" s="100" customFormat="1" ht="12.75" x14ac:dyDescent="0.2"/>
    <row r="154" s="100" customFormat="1" ht="12.75" x14ac:dyDescent="0.2"/>
    <row r="155" s="100" customFormat="1" ht="12.75" x14ac:dyDescent="0.2"/>
    <row r="156" s="100" customFormat="1" ht="12.75" x14ac:dyDescent="0.2"/>
    <row r="157" s="100" customFormat="1" ht="12.75" x14ac:dyDescent="0.2"/>
    <row r="158" s="100" customFormat="1" ht="12.75" x14ac:dyDescent="0.2"/>
    <row r="159" s="100" customFormat="1" ht="12.75" x14ac:dyDescent="0.2"/>
    <row r="160" s="100" customFormat="1" ht="12.75" x14ac:dyDescent="0.2"/>
    <row r="161" s="100" customFormat="1" ht="12.75" x14ac:dyDescent="0.2"/>
    <row r="162" s="100" customFormat="1" ht="12.75" x14ac:dyDescent="0.2"/>
    <row r="163" s="100" customFormat="1" ht="12.75" x14ac:dyDescent="0.2"/>
    <row r="164" s="100" customFormat="1" ht="12.75" x14ac:dyDescent="0.2"/>
    <row r="165" s="100" customFormat="1" ht="12.75" x14ac:dyDescent="0.2"/>
    <row r="166" s="100" customFormat="1" ht="12.75" x14ac:dyDescent="0.2"/>
    <row r="167" s="100" customFormat="1" ht="12.75" x14ac:dyDescent="0.2"/>
    <row r="168" s="100" customFormat="1" ht="12.75" x14ac:dyDescent="0.2"/>
    <row r="169" s="100" customFormat="1" ht="12.75" x14ac:dyDescent="0.2"/>
    <row r="170" s="100" customFormat="1" ht="12.75" x14ac:dyDescent="0.2"/>
    <row r="171" s="100" customFormat="1" ht="12.75" x14ac:dyDescent="0.2"/>
    <row r="172" s="100" customFormat="1" ht="12.75" x14ac:dyDescent="0.2"/>
    <row r="173" s="100" customFormat="1" ht="12.75" x14ac:dyDescent="0.2"/>
    <row r="174" s="100" customFormat="1" ht="12.75" x14ac:dyDescent="0.2"/>
    <row r="175" s="100" customFormat="1" ht="12.75" x14ac:dyDescent="0.2"/>
    <row r="176" s="100" customFormat="1" ht="12.75" x14ac:dyDescent="0.2"/>
    <row r="177" s="100" customFormat="1" ht="12.75" x14ac:dyDescent="0.2"/>
    <row r="178" s="100" customFormat="1" ht="12.75" x14ac:dyDescent="0.2"/>
    <row r="179" s="100" customFormat="1" ht="12.75" x14ac:dyDescent="0.2"/>
    <row r="180" s="100" customFormat="1" ht="12.75" x14ac:dyDescent="0.2"/>
    <row r="181" s="100" customFormat="1" ht="12.75" x14ac:dyDescent="0.2"/>
    <row r="182" s="100" customFormat="1" ht="12.75" x14ac:dyDescent="0.2"/>
    <row r="183" s="100" customFormat="1" ht="12.75" x14ac:dyDescent="0.2"/>
    <row r="184" s="100" customFormat="1" ht="12.75" x14ac:dyDescent="0.2"/>
    <row r="185" s="100" customFormat="1" ht="12.75" x14ac:dyDescent="0.2"/>
    <row r="186" s="100" customFormat="1" ht="12.75" x14ac:dyDescent="0.2"/>
    <row r="187" s="100" customFormat="1" ht="12.75" x14ac:dyDescent="0.2"/>
    <row r="188" s="100" customFormat="1" ht="12.75" x14ac:dyDescent="0.2"/>
    <row r="189" s="100" customFormat="1" ht="12.75" x14ac:dyDescent="0.2"/>
    <row r="190" s="100" customFormat="1" ht="12.75" x14ac:dyDescent="0.2"/>
    <row r="191" s="100" customFormat="1" ht="12.75" x14ac:dyDescent="0.2"/>
    <row r="192" s="100" customFormat="1" ht="12.75" x14ac:dyDescent="0.2"/>
    <row r="193" s="100" customFormat="1" ht="12.75" x14ac:dyDescent="0.2"/>
    <row r="194" s="100" customFormat="1" ht="12.75" x14ac:dyDescent="0.2"/>
    <row r="195" s="100" customFormat="1" ht="12.75" x14ac:dyDescent="0.2"/>
    <row r="196" s="100" customFormat="1" ht="12.75" x14ac:dyDescent="0.2"/>
    <row r="197" s="100" customFormat="1" ht="12.75" x14ac:dyDescent="0.2"/>
    <row r="198" s="100" customFormat="1" ht="12.75" x14ac:dyDescent="0.2"/>
    <row r="199" s="100" customFormat="1" ht="12.75" x14ac:dyDescent="0.2"/>
    <row r="200" s="100" customFormat="1" ht="12.75" x14ac:dyDescent="0.2"/>
    <row r="201" s="100" customFormat="1" ht="12.75" x14ac:dyDescent="0.2"/>
    <row r="202" s="100" customFormat="1" ht="12.75" x14ac:dyDescent="0.2"/>
    <row r="203" s="100" customFormat="1" ht="12.75" x14ac:dyDescent="0.2"/>
    <row r="204" s="100" customFormat="1" ht="12.75" x14ac:dyDescent="0.2"/>
    <row r="205" s="100" customFormat="1" ht="12.75" x14ac:dyDescent="0.2"/>
    <row r="206" s="100" customFormat="1" ht="12.75" x14ac:dyDescent="0.2"/>
    <row r="207" s="100" customFormat="1" ht="12.75" x14ac:dyDescent="0.2"/>
    <row r="208" s="100" customFormat="1" ht="12.75" x14ac:dyDescent="0.2"/>
    <row r="209" s="100" customFormat="1" ht="12.75" x14ac:dyDescent="0.2"/>
    <row r="210" s="100" customFormat="1" ht="12.75" x14ac:dyDescent="0.2"/>
    <row r="211" s="100" customFormat="1" ht="12.75" x14ac:dyDescent="0.2"/>
    <row r="212" s="100" customFormat="1" ht="12.75" x14ac:dyDescent="0.2"/>
    <row r="213" s="100" customFormat="1" ht="12.75" x14ac:dyDescent="0.2"/>
    <row r="214" s="100" customFormat="1" ht="12.75" x14ac:dyDescent="0.2"/>
    <row r="215" s="100" customFormat="1" ht="12.75" x14ac:dyDescent="0.2"/>
    <row r="216" s="100" customFormat="1" ht="12.75" x14ac:dyDescent="0.2"/>
    <row r="217" s="100" customFormat="1" ht="12.75" x14ac:dyDescent="0.2"/>
    <row r="218" s="100" customFormat="1" ht="12.75" x14ac:dyDescent="0.2"/>
    <row r="219" s="100" customFormat="1" ht="12.75" x14ac:dyDescent="0.2"/>
    <row r="220" s="100" customFormat="1" ht="12.75" x14ac:dyDescent="0.2"/>
    <row r="221" s="100" customFormat="1" ht="12.75" x14ac:dyDescent="0.2"/>
    <row r="222" s="100" customFormat="1" ht="12.75" x14ac:dyDescent="0.2"/>
    <row r="223" s="100" customFormat="1" ht="12.75" x14ac:dyDescent="0.2"/>
    <row r="224" s="100" customFormat="1" ht="12.75" x14ac:dyDescent="0.2"/>
    <row r="225" s="100" customFormat="1" ht="12.75" x14ac:dyDescent="0.2"/>
    <row r="226" s="100" customFormat="1" ht="12.75" x14ac:dyDescent="0.2"/>
    <row r="227" s="100" customFormat="1" ht="12.75" x14ac:dyDescent="0.2"/>
    <row r="228" s="100" customFormat="1" ht="12.75" x14ac:dyDescent="0.2"/>
    <row r="229" s="100" customFormat="1" ht="12.75" x14ac:dyDescent="0.2"/>
    <row r="230" s="100" customFormat="1" ht="12.75" x14ac:dyDescent="0.2"/>
    <row r="231" s="100" customFormat="1" ht="12.75" x14ac:dyDescent="0.2"/>
    <row r="232" s="100" customFormat="1" ht="12.75" x14ac:dyDescent="0.2"/>
    <row r="233" s="100" customFormat="1" ht="12.75" x14ac:dyDescent="0.2"/>
    <row r="234" s="100" customFormat="1" ht="12.75" x14ac:dyDescent="0.2"/>
    <row r="235" s="100" customFormat="1" ht="12.75" x14ac:dyDescent="0.2"/>
    <row r="236" s="100" customFormat="1" ht="12.75" x14ac:dyDescent="0.2"/>
    <row r="237" s="100" customFormat="1" ht="12.75" x14ac:dyDescent="0.2"/>
    <row r="238" s="100" customFormat="1" ht="12.75" x14ac:dyDescent="0.2"/>
    <row r="239" s="100" customFormat="1" ht="12.75" x14ac:dyDescent="0.2"/>
    <row r="240" s="100" customFormat="1" ht="12.75" x14ac:dyDescent="0.2"/>
    <row r="241" s="100" customFormat="1" ht="12.75" x14ac:dyDescent="0.2"/>
    <row r="242" s="100" customFormat="1" ht="12.75" x14ac:dyDescent="0.2"/>
    <row r="243" s="100" customFormat="1" ht="12.75" x14ac:dyDescent="0.2"/>
    <row r="244" s="100" customFormat="1" ht="12.75" x14ac:dyDescent="0.2"/>
    <row r="245" s="100" customFormat="1" ht="12.75" x14ac:dyDescent="0.2"/>
    <row r="246" s="100" customFormat="1" ht="12.75" x14ac:dyDescent="0.2"/>
    <row r="247" s="100" customFormat="1" ht="12.75" x14ac:dyDescent="0.2"/>
    <row r="248" s="100" customFormat="1" ht="12.75" x14ac:dyDescent="0.2"/>
    <row r="249" s="100" customFormat="1" ht="12.75" x14ac:dyDescent="0.2"/>
    <row r="250" s="100" customFormat="1" ht="12.75" x14ac:dyDescent="0.2"/>
    <row r="251" s="100" customFormat="1" ht="12.75" x14ac:dyDescent="0.2"/>
    <row r="252" s="100" customFormat="1" ht="12.75" x14ac:dyDescent="0.2"/>
    <row r="253" s="100" customFormat="1" ht="12.75" x14ac:dyDescent="0.2"/>
    <row r="254" s="100" customFormat="1" ht="12.75" x14ac:dyDescent="0.2"/>
    <row r="255" s="100" customFormat="1" ht="12.75" x14ac:dyDescent="0.2"/>
    <row r="256" s="100" customFormat="1" ht="12.75" x14ac:dyDescent="0.2"/>
    <row r="257" s="100" customFormat="1" ht="12.75" x14ac:dyDescent="0.2"/>
    <row r="258" s="100" customFormat="1" ht="12.75" x14ac:dyDescent="0.2"/>
    <row r="259" s="100" customFormat="1" ht="12.75" x14ac:dyDescent="0.2"/>
    <row r="260" s="100" customFormat="1" ht="12.75" x14ac:dyDescent="0.2"/>
    <row r="261" s="100" customFormat="1" ht="12.75" x14ac:dyDescent="0.2"/>
    <row r="262" s="100" customFormat="1" ht="12.75" x14ac:dyDescent="0.2"/>
    <row r="263" s="100" customFormat="1" ht="12.75" x14ac:dyDescent="0.2"/>
    <row r="264" s="100" customFormat="1" ht="12.75" x14ac:dyDescent="0.2"/>
    <row r="265" s="100" customFormat="1" ht="12.75" x14ac:dyDescent="0.2"/>
    <row r="266" s="100" customFormat="1" ht="12.75" x14ac:dyDescent="0.2"/>
    <row r="267" s="100" customFormat="1" ht="12.75" x14ac:dyDescent="0.2"/>
    <row r="268" s="100" customFormat="1" ht="12.75" x14ac:dyDescent="0.2"/>
    <row r="269" s="100" customFormat="1" ht="12.75" x14ac:dyDescent="0.2"/>
    <row r="270" s="100" customFormat="1" ht="12.75" x14ac:dyDescent="0.2"/>
    <row r="271" s="100" customFormat="1" ht="12.75" x14ac:dyDescent="0.2"/>
    <row r="272" s="100" customFormat="1" ht="12.75" x14ac:dyDescent="0.2"/>
    <row r="273" s="100" customFormat="1" ht="12.75" x14ac:dyDescent="0.2"/>
    <row r="274" s="100" customFormat="1" ht="12.75" x14ac:dyDescent="0.2"/>
    <row r="275" s="100" customFormat="1" ht="12.75" x14ac:dyDescent="0.2"/>
    <row r="276" s="100" customFormat="1" ht="12.75" x14ac:dyDescent="0.2"/>
    <row r="277" s="100" customFormat="1" ht="12.75" x14ac:dyDescent="0.2"/>
    <row r="278" s="100" customFormat="1" ht="12.75" x14ac:dyDescent="0.2"/>
    <row r="279" s="100" customFormat="1" ht="12.75" x14ac:dyDescent="0.2"/>
    <row r="280" s="100" customFormat="1" ht="12.75" x14ac:dyDescent="0.2"/>
    <row r="281" s="100" customFormat="1" ht="12.75" x14ac:dyDescent="0.2"/>
    <row r="282" s="100" customFormat="1" ht="12.75" x14ac:dyDescent="0.2"/>
    <row r="283" s="100" customFormat="1" ht="12.75" x14ac:dyDescent="0.2"/>
    <row r="284" s="100" customFormat="1" ht="12.75" x14ac:dyDescent="0.2"/>
    <row r="285" s="100" customFormat="1" ht="12.75" x14ac:dyDescent="0.2"/>
    <row r="286" s="100" customFormat="1" ht="12.75" x14ac:dyDescent="0.2"/>
    <row r="287" s="100" customFormat="1" ht="12.75" x14ac:dyDescent="0.2"/>
    <row r="288" s="100" customFormat="1" ht="12.75" x14ac:dyDescent="0.2"/>
    <row r="289" s="100" customFormat="1" ht="12.75" x14ac:dyDescent="0.2"/>
    <row r="290" s="100" customFormat="1" ht="12.75" x14ac:dyDescent="0.2"/>
    <row r="291" s="100" customFormat="1" ht="12.75" x14ac:dyDescent="0.2"/>
    <row r="292" s="100" customFormat="1" ht="12.75" x14ac:dyDescent="0.2"/>
    <row r="293" s="100" customFormat="1" ht="12.75" x14ac:dyDescent="0.2"/>
    <row r="294" s="100" customFormat="1" ht="12.75" x14ac:dyDescent="0.2"/>
    <row r="295" s="100" customFormat="1" ht="12.75" x14ac:dyDescent="0.2"/>
    <row r="296" s="100" customFormat="1" ht="12.75" x14ac:dyDescent="0.2"/>
    <row r="297" s="100" customFormat="1" ht="12.75" x14ac:dyDescent="0.2"/>
    <row r="298" s="100" customFormat="1" ht="12.75" x14ac:dyDescent="0.2"/>
    <row r="299" s="100" customFormat="1" ht="12.75" x14ac:dyDescent="0.2"/>
    <row r="300" s="100" customFormat="1" ht="12.75" x14ac:dyDescent="0.2"/>
    <row r="301" s="100" customFormat="1" ht="12.75" x14ac:dyDescent="0.2"/>
    <row r="302" s="100" customFormat="1" ht="12.75" x14ac:dyDescent="0.2"/>
    <row r="303" s="100" customFormat="1" ht="12.75" x14ac:dyDescent="0.2"/>
    <row r="304" s="100" customFormat="1" ht="12.75" x14ac:dyDescent="0.2"/>
    <row r="305" s="100" customFormat="1" ht="12.75" x14ac:dyDescent="0.2"/>
    <row r="306" s="100" customFormat="1" ht="12.75" x14ac:dyDescent="0.2"/>
    <row r="307" s="100" customFormat="1" ht="12.75" x14ac:dyDescent="0.2"/>
    <row r="308" s="100" customFormat="1" ht="12.75" x14ac:dyDescent="0.2"/>
    <row r="309" s="100" customFormat="1" ht="12.75" x14ac:dyDescent="0.2"/>
    <row r="310" s="100" customFormat="1" ht="12.75" x14ac:dyDescent="0.2"/>
    <row r="311" s="100" customFormat="1" ht="12.75" x14ac:dyDescent="0.2"/>
    <row r="312" s="100" customFormat="1" ht="12.75" x14ac:dyDescent="0.2"/>
    <row r="313" s="100" customFormat="1" ht="12.75" x14ac:dyDescent="0.2"/>
    <row r="314" s="100" customFormat="1" ht="12.75" x14ac:dyDescent="0.2"/>
    <row r="315" s="100" customFormat="1" ht="12.75" x14ac:dyDescent="0.2"/>
    <row r="316" s="100" customFormat="1" ht="12.75" x14ac:dyDescent="0.2"/>
    <row r="317" s="100" customFormat="1" ht="12.75" x14ac:dyDescent="0.2"/>
    <row r="318" s="100" customFormat="1" ht="12.75" x14ac:dyDescent="0.2"/>
    <row r="319" s="100" customFormat="1" ht="12.75" x14ac:dyDescent="0.2"/>
    <row r="320" s="100" customFormat="1" ht="12.75" x14ac:dyDescent="0.2"/>
    <row r="321" s="100" customFormat="1" ht="12.75" x14ac:dyDescent="0.2"/>
    <row r="322" s="100" customFormat="1" ht="12.75" x14ac:dyDescent="0.2"/>
    <row r="323" s="100" customFormat="1" ht="12.75" x14ac:dyDescent="0.2"/>
    <row r="324" s="100" customFormat="1" ht="12.75" x14ac:dyDescent="0.2"/>
    <row r="325" s="100" customFormat="1" ht="12.75" x14ac:dyDescent="0.2"/>
    <row r="326" s="100" customFormat="1" ht="12.75" x14ac:dyDescent="0.2"/>
    <row r="327" s="100" customFormat="1" ht="12.75" x14ac:dyDescent="0.2"/>
    <row r="328" s="100" customFormat="1" ht="12.75" x14ac:dyDescent="0.2"/>
    <row r="329" s="100" customFormat="1" ht="12.75" x14ac:dyDescent="0.2"/>
    <row r="330" s="100" customFormat="1" ht="12.75" x14ac:dyDescent="0.2"/>
    <row r="331" s="100" customFormat="1" ht="12.75" x14ac:dyDescent="0.2"/>
    <row r="332" s="100" customFormat="1" ht="12.75" x14ac:dyDescent="0.2"/>
    <row r="333" s="100" customFormat="1" ht="12.75" x14ac:dyDescent="0.2"/>
    <row r="334" s="100" customFormat="1" ht="12.75" x14ac:dyDescent="0.2"/>
    <row r="335" s="100" customFormat="1" ht="12.75" x14ac:dyDescent="0.2"/>
    <row r="336" s="100" customFormat="1" ht="12.75" x14ac:dyDescent="0.2"/>
    <row r="337" s="100" customFormat="1" ht="12.75" x14ac:dyDescent="0.2"/>
    <row r="338" s="100" customFormat="1" ht="12.75" x14ac:dyDescent="0.2"/>
    <row r="339" s="100" customFormat="1" ht="12.75" x14ac:dyDescent="0.2"/>
    <row r="340" s="100" customFormat="1" ht="12.75" x14ac:dyDescent="0.2"/>
    <row r="341" s="100" customFormat="1" ht="12.75" x14ac:dyDescent="0.2"/>
    <row r="342" s="100" customFormat="1" ht="12.75" x14ac:dyDescent="0.2"/>
    <row r="343" s="100" customFormat="1" ht="12.75" x14ac:dyDescent="0.2"/>
    <row r="344" s="100" customFormat="1" ht="12.75" x14ac:dyDescent="0.2"/>
    <row r="345" s="100" customFormat="1" ht="12.75" x14ac:dyDescent="0.2"/>
    <row r="346" s="100" customFormat="1" ht="12.75" x14ac:dyDescent="0.2"/>
    <row r="347" s="100" customFormat="1" ht="12.75" x14ac:dyDescent="0.2"/>
    <row r="348" s="100" customFormat="1" ht="12.75" x14ac:dyDescent="0.2"/>
    <row r="349" s="100" customFormat="1" ht="12.75" x14ac:dyDescent="0.2"/>
    <row r="350" s="100" customFormat="1" ht="12.75" x14ac:dyDescent="0.2"/>
    <row r="351" s="100" customFormat="1" ht="12.75" x14ac:dyDescent="0.2"/>
    <row r="352" s="100" customFormat="1" ht="12.75" x14ac:dyDescent="0.2"/>
    <row r="353" s="100" customFormat="1" ht="12.75" x14ac:dyDescent="0.2"/>
    <row r="354" s="100" customFormat="1" ht="12.75" x14ac:dyDescent="0.2"/>
    <row r="355" s="100" customFormat="1" ht="12.75" x14ac:dyDescent="0.2"/>
    <row r="356" s="100" customFormat="1" ht="12.75" x14ac:dyDescent="0.2"/>
    <row r="357" s="100" customFormat="1" ht="12.75" x14ac:dyDescent="0.2"/>
    <row r="358" s="100" customFormat="1" ht="12.75" x14ac:dyDescent="0.2"/>
    <row r="359" s="100" customFormat="1" ht="12.75" x14ac:dyDescent="0.2"/>
    <row r="360" s="100" customFormat="1" ht="12.75" x14ac:dyDescent="0.2"/>
    <row r="361" s="100" customFormat="1" ht="12.75" x14ac:dyDescent="0.2"/>
    <row r="362" s="100" customFormat="1" ht="12.75" x14ac:dyDescent="0.2"/>
    <row r="363" s="100" customFormat="1" ht="12.75" x14ac:dyDescent="0.2"/>
    <row r="364" s="100" customFormat="1" ht="12.75" x14ac:dyDescent="0.2"/>
    <row r="365" s="100" customFormat="1" ht="12.75" x14ac:dyDescent="0.2"/>
    <row r="366" s="100" customFormat="1" ht="12.75" x14ac:dyDescent="0.2"/>
    <row r="367" s="100" customFormat="1" ht="12.75" x14ac:dyDescent="0.2"/>
    <row r="368" s="100" customFormat="1" ht="12.75" x14ac:dyDescent="0.2"/>
    <row r="369" s="100" customFormat="1" ht="12.75" x14ac:dyDescent="0.2"/>
    <row r="370" s="100" customFormat="1" ht="12.75" x14ac:dyDescent="0.2"/>
    <row r="371" s="100" customFormat="1" ht="12.75" x14ac:dyDescent="0.2"/>
    <row r="372" s="100" customFormat="1" ht="12.75" x14ac:dyDescent="0.2"/>
    <row r="373" s="100" customFormat="1" ht="12.75" x14ac:dyDescent="0.2"/>
    <row r="374" s="100" customFormat="1" ht="12.75" x14ac:dyDescent="0.2"/>
    <row r="375" s="100" customFormat="1" ht="12.75" x14ac:dyDescent="0.2"/>
    <row r="376" s="100" customFormat="1" ht="12.75" x14ac:dyDescent="0.2"/>
    <row r="377" s="100" customFormat="1" ht="12.75" x14ac:dyDescent="0.2"/>
    <row r="378" s="100" customFormat="1" ht="12.75" x14ac:dyDescent="0.2"/>
    <row r="379" s="100" customFormat="1" ht="12.75" x14ac:dyDescent="0.2"/>
    <row r="380" s="100" customFormat="1" ht="12.75" x14ac:dyDescent="0.2"/>
    <row r="381" s="100" customFormat="1" ht="12.75" x14ac:dyDescent="0.2"/>
    <row r="382" s="100" customFormat="1" ht="12.75" x14ac:dyDescent="0.2"/>
    <row r="383" s="100" customFormat="1" ht="12.75" x14ac:dyDescent="0.2"/>
    <row r="384" s="100" customFormat="1" ht="12.75" x14ac:dyDescent="0.2"/>
    <row r="385" s="100" customFormat="1" ht="12.75" x14ac:dyDescent="0.2"/>
    <row r="386" s="100" customFormat="1" ht="12.75" x14ac:dyDescent="0.2"/>
    <row r="387" s="100" customFormat="1" ht="12.75" x14ac:dyDescent="0.2"/>
    <row r="388" s="100" customFormat="1" ht="12.75" x14ac:dyDescent="0.2"/>
    <row r="389" s="100" customFormat="1" ht="12.75" x14ac:dyDescent="0.2"/>
    <row r="390" s="100" customFormat="1" ht="12.75" x14ac:dyDescent="0.2"/>
    <row r="391" s="100" customFormat="1" ht="12.75" x14ac:dyDescent="0.2"/>
    <row r="392" s="100" customFormat="1" ht="12.75" x14ac:dyDescent="0.2"/>
    <row r="393" s="100" customFormat="1" ht="12.75" x14ac:dyDescent="0.2"/>
    <row r="394" s="100" customFormat="1" ht="12.75" x14ac:dyDescent="0.2"/>
    <row r="395" s="100" customFormat="1" ht="12.75" x14ac:dyDescent="0.2"/>
    <row r="396" s="100" customFormat="1" ht="12.75" x14ac:dyDescent="0.2"/>
    <row r="397" s="100" customFormat="1" ht="12.75" x14ac:dyDescent="0.2"/>
    <row r="398" s="100" customFormat="1" ht="12.75" x14ac:dyDescent="0.2"/>
    <row r="399" s="100" customFormat="1" ht="12.75" x14ac:dyDescent="0.2"/>
    <row r="400" s="100" customFormat="1" ht="12.75" x14ac:dyDescent="0.2"/>
    <row r="401" s="100" customFormat="1" ht="12.75" x14ac:dyDescent="0.2"/>
    <row r="402" s="100" customFormat="1" ht="12.75" x14ac:dyDescent="0.2"/>
    <row r="403" s="100" customFormat="1" ht="12.75" x14ac:dyDescent="0.2"/>
    <row r="404" s="100" customFormat="1" ht="12.75" x14ac:dyDescent="0.2"/>
    <row r="405" s="100" customFormat="1" ht="12.75" x14ac:dyDescent="0.2"/>
    <row r="406" s="100" customFormat="1" ht="12.75" x14ac:dyDescent="0.2"/>
    <row r="407" s="100" customFormat="1" ht="12.75" x14ac:dyDescent="0.2"/>
    <row r="408" s="100" customFormat="1" ht="12.75" x14ac:dyDescent="0.2"/>
    <row r="409" s="100" customFormat="1" ht="12.75" x14ac:dyDescent="0.2"/>
    <row r="410" s="100" customFormat="1" ht="12.75" x14ac:dyDescent="0.2"/>
    <row r="411" s="100" customFormat="1" ht="12.75" x14ac:dyDescent="0.2"/>
    <row r="412" s="100" customFormat="1" ht="12.75" x14ac:dyDescent="0.2"/>
    <row r="413" s="100" customFormat="1" ht="12.75" x14ac:dyDescent="0.2"/>
    <row r="414" s="100" customFormat="1" ht="12.75" x14ac:dyDescent="0.2"/>
    <row r="415" s="100" customFormat="1" ht="12.75" x14ac:dyDescent="0.2"/>
    <row r="416" s="100" customFormat="1" ht="12.75" x14ac:dyDescent="0.2"/>
    <row r="417" s="100" customFormat="1" ht="12.75" x14ac:dyDescent="0.2"/>
    <row r="418" s="100" customFormat="1" ht="12.75" x14ac:dyDescent="0.2"/>
    <row r="419" s="100" customFormat="1" ht="12.75" x14ac:dyDescent="0.2"/>
    <row r="420" s="100" customFormat="1" ht="12.75" x14ac:dyDescent="0.2"/>
    <row r="421" s="100" customFormat="1" ht="12.75" x14ac:dyDescent="0.2"/>
    <row r="422" s="100" customFormat="1" ht="12.75" x14ac:dyDescent="0.2"/>
    <row r="423" s="100" customFormat="1" ht="12.75" x14ac:dyDescent="0.2"/>
    <row r="424" s="100" customFormat="1" ht="12.75" x14ac:dyDescent="0.2"/>
    <row r="425" s="100" customFormat="1" ht="12.75" x14ac:dyDescent="0.2"/>
    <row r="426" s="100" customFormat="1" ht="12.75" x14ac:dyDescent="0.2"/>
    <row r="427" s="100" customFormat="1" ht="12.75" x14ac:dyDescent="0.2"/>
    <row r="428" s="100" customFormat="1" ht="12.75" x14ac:dyDescent="0.2"/>
    <row r="429" s="100" customFormat="1" ht="12.75" x14ac:dyDescent="0.2"/>
    <row r="430" s="100" customFormat="1" ht="12.75" x14ac:dyDescent="0.2"/>
    <row r="431" s="100" customFormat="1" ht="12.75" x14ac:dyDescent="0.2"/>
    <row r="432" s="100" customFormat="1" ht="12.75" x14ac:dyDescent="0.2"/>
    <row r="433" s="100" customFormat="1" ht="12.75" x14ac:dyDescent="0.2"/>
    <row r="434" s="100" customFormat="1" ht="12.75" x14ac:dyDescent="0.2"/>
    <row r="435" s="100" customFormat="1" ht="12.75" x14ac:dyDescent="0.2"/>
    <row r="436" s="100" customFormat="1" ht="12.75" x14ac:dyDescent="0.2"/>
    <row r="437" s="100" customFormat="1" ht="12.75" x14ac:dyDescent="0.2"/>
    <row r="438" s="100" customFormat="1" ht="12.75" x14ac:dyDescent="0.2"/>
    <row r="439" s="100" customFormat="1" ht="12.75" x14ac:dyDescent="0.2"/>
    <row r="440" s="100" customFormat="1" ht="12.75" x14ac:dyDescent="0.2"/>
    <row r="441" s="100" customFormat="1" ht="12.75" x14ac:dyDescent="0.2"/>
    <row r="442" s="100" customFormat="1" ht="12.75" x14ac:dyDescent="0.2"/>
    <row r="443" s="100" customFormat="1" ht="12.75" x14ac:dyDescent="0.2"/>
    <row r="444" s="100" customFormat="1" ht="12.75" x14ac:dyDescent="0.2"/>
    <row r="445" s="100" customFormat="1" ht="12.75" x14ac:dyDescent="0.2"/>
    <row r="446" s="100" customFormat="1" ht="12.75" x14ac:dyDescent="0.2"/>
    <row r="447" s="100" customFormat="1" ht="12.75" x14ac:dyDescent="0.2"/>
    <row r="448" s="100" customFormat="1" ht="12.75" x14ac:dyDescent="0.2"/>
    <row r="449" s="100" customFormat="1" ht="12.75" x14ac:dyDescent="0.2"/>
    <row r="450" s="100" customFormat="1" ht="12.75" x14ac:dyDescent="0.2"/>
    <row r="451" s="100" customFormat="1" ht="12.75" x14ac:dyDescent="0.2"/>
    <row r="452" s="100" customFormat="1" ht="12.75" x14ac:dyDescent="0.2"/>
    <row r="453" s="100" customFormat="1" ht="12.75" x14ac:dyDescent="0.2"/>
    <row r="454" s="100" customFormat="1" ht="12.75" x14ac:dyDescent="0.2"/>
    <row r="455" s="100" customFormat="1" ht="12.75" x14ac:dyDescent="0.2"/>
    <row r="456" s="100" customFormat="1" ht="12.75" x14ac:dyDescent="0.2"/>
    <row r="457" s="100" customFormat="1" ht="12.75" x14ac:dyDescent="0.2"/>
    <row r="458" s="100" customFormat="1" ht="12.75" x14ac:dyDescent="0.2"/>
    <row r="459" s="100" customFormat="1" ht="12.75" x14ac:dyDescent="0.2"/>
    <row r="460" s="100" customFormat="1" ht="12.75" x14ac:dyDescent="0.2"/>
    <row r="461" s="100" customFormat="1" ht="12.75" x14ac:dyDescent="0.2"/>
    <row r="462" s="100" customFormat="1" ht="12.75" x14ac:dyDescent="0.2"/>
    <row r="463" s="100" customFormat="1" ht="12.75" x14ac:dyDescent="0.2"/>
    <row r="464" s="100" customFormat="1" ht="12.75" x14ac:dyDescent="0.2"/>
    <row r="465" s="100" customFormat="1" ht="12.75" x14ac:dyDescent="0.2"/>
    <row r="466" s="100" customFormat="1" ht="12.75" x14ac:dyDescent="0.2"/>
    <row r="467" s="100" customFormat="1" ht="12.75" x14ac:dyDescent="0.2"/>
    <row r="468" s="100" customFormat="1" ht="12.75" x14ac:dyDescent="0.2"/>
    <row r="469" s="100" customFormat="1" ht="12.75" x14ac:dyDescent="0.2"/>
    <row r="470" s="100" customFormat="1" ht="12.75" x14ac:dyDescent="0.2"/>
    <row r="471" s="100" customFormat="1" ht="12.75" x14ac:dyDescent="0.2"/>
    <row r="472" s="100" customFormat="1" ht="12.75" x14ac:dyDescent="0.2"/>
    <row r="473" s="100" customFormat="1" ht="12.75" x14ac:dyDescent="0.2"/>
    <row r="474" s="100" customFormat="1" ht="12.75" x14ac:dyDescent="0.2"/>
    <row r="475" s="100" customFormat="1" ht="12.75" x14ac:dyDescent="0.2"/>
    <row r="476" s="100" customFormat="1" ht="12.75" x14ac:dyDescent="0.2"/>
    <row r="477" s="100" customFormat="1" ht="12.75" x14ac:dyDescent="0.2"/>
    <row r="478" s="100" customFormat="1" ht="12.75" x14ac:dyDescent="0.2"/>
    <row r="479" s="100" customFormat="1" ht="12.75" x14ac:dyDescent="0.2"/>
    <row r="480" s="100" customFormat="1" ht="12.75" x14ac:dyDescent="0.2"/>
    <row r="481" s="100" customFormat="1" ht="12.75" x14ac:dyDescent="0.2"/>
    <row r="482" s="100" customFormat="1" ht="12.75" x14ac:dyDescent="0.2"/>
    <row r="483" s="100" customFormat="1" ht="12.75" x14ac:dyDescent="0.2"/>
    <row r="484" s="100" customFormat="1" ht="12.75" x14ac:dyDescent="0.2"/>
    <row r="485" s="100" customFormat="1" ht="12.75" x14ac:dyDescent="0.2"/>
    <row r="486" s="100" customFormat="1" ht="12.75" x14ac:dyDescent="0.2"/>
    <row r="487" s="100" customFormat="1" ht="12.75" x14ac:dyDescent="0.2"/>
    <row r="488" s="100" customFormat="1" ht="12.75" x14ac:dyDescent="0.2"/>
    <row r="489" s="100" customFormat="1" ht="12.75" x14ac:dyDescent="0.2"/>
    <row r="490" s="100" customFormat="1" ht="12.75" x14ac:dyDescent="0.2"/>
    <row r="491" s="100" customFormat="1" ht="12.75" x14ac:dyDescent="0.2"/>
    <row r="492" s="100" customFormat="1" ht="12.75" x14ac:dyDescent="0.2"/>
    <row r="493" s="100" customFormat="1" ht="12.75" x14ac:dyDescent="0.2"/>
    <row r="494" s="100" customFormat="1" ht="12.75" x14ac:dyDescent="0.2"/>
    <row r="495" s="100" customFormat="1" ht="12.75" x14ac:dyDescent="0.2"/>
    <row r="496" s="100" customFormat="1" ht="12.75" x14ac:dyDescent="0.2"/>
    <row r="497" s="100" customFormat="1" ht="12.75" x14ac:dyDescent="0.2"/>
    <row r="498" s="100" customFormat="1" ht="12.75" x14ac:dyDescent="0.2"/>
    <row r="499" s="100" customFormat="1" ht="12.75" x14ac:dyDescent="0.2"/>
    <row r="500" s="100" customFormat="1" ht="12.75" x14ac:dyDescent="0.2"/>
    <row r="501" s="100" customFormat="1" ht="12.75" x14ac:dyDescent="0.2"/>
    <row r="502" s="100" customFormat="1" ht="12.75" x14ac:dyDescent="0.2"/>
    <row r="503" s="100" customFormat="1" ht="12.75" x14ac:dyDescent="0.2"/>
    <row r="504" s="100" customFormat="1" ht="12.75" x14ac:dyDescent="0.2"/>
    <row r="505" s="100" customFormat="1" ht="12.75" x14ac:dyDescent="0.2"/>
    <row r="506" s="100" customFormat="1" ht="12.75" x14ac:dyDescent="0.2"/>
    <row r="507" s="100" customFormat="1" ht="12.75" x14ac:dyDescent="0.2"/>
    <row r="508" s="100" customFormat="1" ht="12.75" x14ac:dyDescent="0.2"/>
    <row r="509" s="100" customFormat="1" ht="12.75" x14ac:dyDescent="0.2"/>
    <row r="510" s="100" customFormat="1" ht="12.75" x14ac:dyDescent="0.2"/>
    <row r="511" s="100" customFormat="1" ht="12.75" x14ac:dyDescent="0.2"/>
    <row r="512" s="100" customFormat="1" ht="12.75" x14ac:dyDescent="0.2"/>
    <row r="513" s="100" customFormat="1" ht="12.75" x14ac:dyDescent="0.2"/>
    <row r="514" s="100" customFormat="1" ht="12.75" x14ac:dyDescent="0.2"/>
    <row r="515" s="100" customFormat="1" ht="12.75" x14ac:dyDescent="0.2"/>
    <row r="516" s="100" customFormat="1" ht="12.75" x14ac:dyDescent="0.2"/>
    <row r="517" s="100" customFormat="1" ht="12.75" x14ac:dyDescent="0.2"/>
    <row r="518" s="100" customFormat="1" ht="12.75" x14ac:dyDescent="0.2"/>
    <row r="519" s="100" customFormat="1" ht="12.75" x14ac:dyDescent="0.2"/>
    <row r="520" s="100" customFormat="1" ht="12.75" x14ac:dyDescent="0.2"/>
    <row r="521" s="100" customFormat="1" ht="12.75" x14ac:dyDescent="0.2"/>
    <row r="522" s="100" customFormat="1" ht="12.75" x14ac:dyDescent="0.2"/>
    <row r="523" s="100" customFormat="1" ht="12.75" x14ac:dyDescent="0.2"/>
    <row r="524" s="100" customFormat="1" ht="12.75" x14ac:dyDescent="0.2"/>
    <row r="525" s="100" customFormat="1" ht="12.75" x14ac:dyDescent="0.2"/>
    <row r="526" s="100" customFormat="1" ht="12.75" x14ac:dyDescent="0.2"/>
    <row r="527" s="100" customFormat="1" ht="12.75" x14ac:dyDescent="0.2"/>
    <row r="528" s="100" customFormat="1" ht="12.75" x14ac:dyDescent="0.2"/>
    <row r="529" s="100" customFormat="1" ht="12.75" x14ac:dyDescent="0.2"/>
    <row r="530" s="100" customFormat="1" ht="12.75" x14ac:dyDescent="0.2"/>
    <row r="531" s="100" customFormat="1" ht="12.75" x14ac:dyDescent="0.2"/>
    <row r="532" s="100" customFormat="1" ht="12.75" x14ac:dyDescent="0.2"/>
    <row r="533" s="100" customFormat="1" ht="12.75" x14ac:dyDescent="0.2"/>
    <row r="534" s="100" customFormat="1" ht="12.75" x14ac:dyDescent="0.2"/>
    <row r="535" s="100" customFormat="1" ht="12.75" x14ac:dyDescent="0.2"/>
    <row r="536" s="100" customFormat="1" ht="12.75" x14ac:dyDescent="0.2"/>
    <row r="537" s="100" customFormat="1" ht="12.75" x14ac:dyDescent="0.2"/>
    <row r="538" s="100" customFormat="1" ht="12.75" x14ac:dyDescent="0.2"/>
    <row r="539" s="100" customFormat="1" ht="12.75" x14ac:dyDescent="0.2"/>
    <row r="540" s="100" customFormat="1" ht="12.75" x14ac:dyDescent="0.2"/>
    <row r="541" s="100" customFormat="1" ht="12.75" x14ac:dyDescent="0.2"/>
    <row r="542" s="100" customFormat="1" ht="12.75" x14ac:dyDescent="0.2"/>
    <row r="543" s="100" customFormat="1" ht="12.75" x14ac:dyDescent="0.2"/>
    <row r="544" s="100" customFormat="1" ht="12.75" x14ac:dyDescent="0.2"/>
    <row r="545" s="100" customFormat="1" ht="12.75" x14ac:dyDescent="0.2"/>
    <row r="546" s="100" customFormat="1" ht="12.75" x14ac:dyDescent="0.2"/>
    <row r="547" s="100" customFormat="1" ht="12.75" x14ac:dyDescent="0.2"/>
    <row r="548" s="100" customFormat="1" ht="12.75" x14ac:dyDescent="0.2"/>
    <row r="549" s="100" customFormat="1" ht="12.75" x14ac:dyDescent="0.2"/>
    <row r="550" s="100" customFormat="1" ht="12.75" x14ac:dyDescent="0.2"/>
    <row r="551" s="100" customFormat="1" ht="12.75" x14ac:dyDescent="0.2"/>
    <row r="552" s="100" customFormat="1" ht="12.75" x14ac:dyDescent="0.2"/>
    <row r="553" s="100" customFormat="1" ht="12.75" x14ac:dyDescent="0.2"/>
    <row r="554" s="100" customFormat="1" ht="12.75" x14ac:dyDescent="0.2"/>
    <row r="555" s="100" customFormat="1" ht="12.75" x14ac:dyDescent="0.2"/>
    <row r="556" s="100" customFormat="1" ht="12.75" x14ac:dyDescent="0.2"/>
    <row r="557" s="100" customFormat="1" ht="12.75" x14ac:dyDescent="0.2"/>
    <row r="558" s="100" customFormat="1" ht="12.75" x14ac:dyDescent="0.2"/>
    <row r="559" s="100" customFormat="1" ht="12.75" x14ac:dyDescent="0.2"/>
    <row r="560" s="100" customFormat="1" ht="12.75" x14ac:dyDescent="0.2"/>
    <row r="561" s="100" customFormat="1" ht="12.75" x14ac:dyDescent="0.2"/>
    <row r="562" s="100" customFormat="1" ht="12.75" x14ac:dyDescent="0.2"/>
    <row r="563" s="100" customFormat="1" ht="12.75" x14ac:dyDescent="0.2"/>
    <row r="564" s="100" customFormat="1" ht="12.75" x14ac:dyDescent="0.2"/>
    <row r="565" s="100" customFormat="1" ht="12.75" x14ac:dyDescent="0.2"/>
    <row r="566" s="100" customFormat="1" ht="12.75" x14ac:dyDescent="0.2"/>
    <row r="567" s="100" customFormat="1" ht="12.75" x14ac:dyDescent="0.2"/>
    <row r="568" s="100" customFormat="1" ht="12.75" x14ac:dyDescent="0.2"/>
    <row r="569" s="100" customFormat="1" ht="12.75" x14ac:dyDescent="0.2"/>
    <row r="570" s="100" customFormat="1" ht="12.75" x14ac:dyDescent="0.2"/>
    <row r="571" s="100" customFormat="1" ht="12.75" x14ac:dyDescent="0.2"/>
    <row r="572" s="100" customFormat="1" ht="12.75" x14ac:dyDescent="0.2"/>
    <row r="573" s="100" customFormat="1" ht="12.75" x14ac:dyDescent="0.2"/>
    <row r="574" s="100" customFormat="1" ht="12.75" x14ac:dyDescent="0.2"/>
    <row r="575" s="100" customFormat="1" ht="12.75" x14ac:dyDescent="0.2"/>
    <row r="576" s="100" customFormat="1" ht="12.75" x14ac:dyDescent="0.2"/>
    <row r="577" s="100" customFormat="1" ht="12.75" x14ac:dyDescent="0.2"/>
    <row r="578" s="100" customFormat="1" ht="12.75" x14ac:dyDescent="0.2"/>
    <row r="579" s="100" customFormat="1" ht="12.75" x14ac:dyDescent="0.2"/>
    <row r="580" s="100" customFormat="1" ht="12.75" x14ac:dyDescent="0.2"/>
    <row r="581" s="100" customFormat="1" ht="12.75" x14ac:dyDescent="0.2"/>
    <row r="582" s="100" customFormat="1" ht="12.75" x14ac:dyDescent="0.2"/>
    <row r="583" s="100" customFormat="1" ht="12.75" x14ac:dyDescent="0.2"/>
    <row r="584" s="100" customFormat="1" ht="12.75" x14ac:dyDescent="0.2"/>
    <row r="585" s="100" customFormat="1" ht="12.75" x14ac:dyDescent="0.2"/>
    <row r="586" s="100" customFormat="1" ht="12.75" x14ac:dyDescent="0.2"/>
    <row r="587" s="100" customFormat="1" ht="12.75" x14ac:dyDescent="0.2"/>
    <row r="588" s="100" customFormat="1" ht="12.75" x14ac:dyDescent="0.2"/>
    <row r="589" s="100" customFormat="1" ht="12.75" x14ac:dyDescent="0.2"/>
    <row r="590" s="100" customFormat="1" ht="12.75" x14ac:dyDescent="0.2"/>
    <row r="591" s="100" customFormat="1" ht="12.75" x14ac:dyDescent="0.2"/>
    <row r="592" s="100" customFormat="1" ht="12.75" x14ac:dyDescent="0.2"/>
    <row r="593" s="100" customFormat="1" ht="12.75" x14ac:dyDescent="0.2"/>
    <row r="594" s="100" customFormat="1" ht="12.75" x14ac:dyDescent="0.2"/>
    <row r="595" s="100" customFormat="1" ht="12.75" x14ac:dyDescent="0.2"/>
    <row r="596" s="100" customFormat="1" ht="12.75" x14ac:dyDescent="0.2"/>
    <row r="597" s="100" customFormat="1" ht="12.75" x14ac:dyDescent="0.2"/>
    <row r="598" s="100" customFormat="1" ht="12.75" x14ac:dyDescent="0.2"/>
    <row r="599" s="100" customFormat="1" ht="12.75" x14ac:dyDescent="0.2"/>
    <row r="600" s="100" customFormat="1" ht="12.75" x14ac:dyDescent="0.2"/>
    <row r="601" s="100" customFormat="1" ht="12.75" x14ac:dyDescent="0.2"/>
    <row r="602" s="100" customFormat="1" ht="12.75" x14ac:dyDescent="0.2"/>
    <row r="603" s="100" customFormat="1" ht="12.75" x14ac:dyDescent="0.2"/>
    <row r="604" s="100" customFormat="1" ht="12.75" x14ac:dyDescent="0.2"/>
    <row r="605" s="100" customFormat="1" ht="12.75" x14ac:dyDescent="0.2"/>
    <row r="606" s="100" customFormat="1" ht="12.75" x14ac:dyDescent="0.2"/>
    <row r="607" s="100" customFormat="1" ht="12.75" x14ac:dyDescent="0.2"/>
    <row r="608" s="100" customFormat="1" ht="12.75" x14ac:dyDescent="0.2"/>
    <row r="609" s="100" customFormat="1" ht="12.75" x14ac:dyDescent="0.2"/>
    <row r="610" s="100" customFormat="1" ht="12.75" x14ac:dyDescent="0.2"/>
    <row r="611" s="100" customFormat="1" ht="12.75" x14ac:dyDescent="0.2"/>
    <row r="612" s="100" customFormat="1" ht="12.75" x14ac:dyDescent="0.2"/>
    <row r="613" s="100" customFormat="1" ht="12.75" x14ac:dyDescent="0.2"/>
    <row r="614" s="100" customFormat="1" ht="12.75" x14ac:dyDescent="0.2"/>
    <row r="615" s="100" customFormat="1" ht="12.75" x14ac:dyDescent="0.2"/>
    <row r="616" s="100" customFormat="1" ht="12.75" x14ac:dyDescent="0.2"/>
    <row r="617" s="100" customFormat="1" ht="12.75" x14ac:dyDescent="0.2"/>
    <row r="618" s="100" customFormat="1" ht="12.75" x14ac:dyDescent="0.2"/>
    <row r="619" s="100" customFormat="1" ht="12.75" x14ac:dyDescent="0.2"/>
    <row r="620" s="100" customFormat="1" ht="12.75" x14ac:dyDescent="0.2"/>
    <row r="621" s="100" customFormat="1" ht="12.75" x14ac:dyDescent="0.2"/>
    <row r="622" s="100" customFormat="1" ht="12.75" x14ac:dyDescent="0.2"/>
    <row r="623" s="100" customFormat="1" ht="12.75" x14ac:dyDescent="0.2"/>
    <row r="624" s="100" customFormat="1" ht="12.75" x14ac:dyDescent="0.2"/>
    <row r="625" s="100" customFormat="1" ht="12.75" x14ac:dyDescent="0.2"/>
    <row r="626" s="100" customFormat="1" ht="12.75" x14ac:dyDescent="0.2"/>
    <row r="627" s="100" customFormat="1" ht="12.75" x14ac:dyDescent="0.2"/>
    <row r="628" s="100" customFormat="1" ht="12.75" x14ac:dyDescent="0.2"/>
    <row r="629" s="100" customFormat="1" ht="12.75" x14ac:dyDescent="0.2"/>
    <row r="630" s="100" customFormat="1" ht="12.75" x14ac:dyDescent="0.2"/>
    <row r="631" s="100" customFormat="1" ht="12.75" x14ac:dyDescent="0.2"/>
    <row r="632" s="100" customFormat="1" ht="12.75" x14ac:dyDescent="0.2"/>
    <row r="633" s="100" customFormat="1" ht="12.75" x14ac:dyDescent="0.2"/>
    <row r="634" s="100" customFormat="1" ht="12.75" x14ac:dyDescent="0.2"/>
    <row r="635" s="100" customFormat="1" ht="12.75" x14ac:dyDescent="0.2"/>
    <row r="636" s="100" customFormat="1" ht="12.75" x14ac:dyDescent="0.2"/>
    <row r="637" s="100" customFormat="1" ht="12.75" x14ac:dyDescent="0.2"/>
    <row r="638" s="100" customFormat="1" ht="12.75" x14ac:dyDescent="0.2"/>
    <row r="639" s="100" customFormat="1" ht="12.75" x14ac:dyDescent="0.2"/>
    <row r="640" s="100" customFormat="1" ht="12.75" x14ac:dyDescent="0.2"/>
    <row r="641" s="100" customFormat="1" ht="12.75" x14ac:dyDescent="0.2"/>
    <row r="642" s="100" customFormat="1" ht="12.75" x14ac:dyDescent="0.2"/>
    <row r="643" s="100" customFormat="1" ht="12.75" x14ac:dyDescent="0.2"/>
    <row r="644" s="100" customFormat="1" ht="12.75" x14ac:dyDescent="0.2"/>
    <row r="645" s="100" customFormat="1" ht="12.75" x14ac:dyDescent="0.2"/>
    <row r="646" s="100" customFormat="1" ht="12.75" x14ac:dyDescent="0.2"/>
    <row r="647" s="100" customFormat="1" ht="12.75" x14ac:dyDescent="0.2"/>
    <row r="648" s="100" customFormat="1" ht="12.75" x14ac:dyDescent="0.2"/>
    <row r="649" s="100" customFormat="1" ht="12.75" x14ac:dyDescent="0.2"/>
    <row r="650" s="100" customFormat="1" ht="12.75" x14ac:dyDescent="0.2"/>
    <row r="651" s="100" customFormat="1" ht="12.75" x14ac:dyDescent="0.2"/>
    <row r="652" s="100" customFormat="1" ht="12.75" x14ac:dyDescent="0.2"/>
    <row r="653" s="100" customFormat="1" ht="12.75" x14ac:dyDescent="0.2"/>
    <row r="654" s="100" customFormat="1" ht="12.75" x14ac:dyDescent="0.2"/>
    <row r="655" s="100" customFormat="1" ht="12.75" x14ac:dyDescent="0.2"/>
    <row r="656" s="100" customFormat="1" ht="12.75" x14ac:dyDescent="0.2"/>
    <row r="657" s="100" customFormat="1" ht="12.75" x14ac:dyDescent="0.2"/>
    <row r="658" s="100" customFormat="1" ht="12.75" x14ac:dyDescent="0.2"/>
    <row r="659" s="100" customFormat="1" ht="12.75" x14ac:dyDescent="0.2"/>
    <row r="660" s="100" customFormat="1" ht="12.75" x14ac:dyDescent="0.2"/>
    <row r="661" s="100" customFormat="1" ht="12.75" x14ac:dyDescent="0.2"/>
    <row r="662" s="100" customFormat="1" ht="12.75" x14ac:dyDescent="0.2"/>
    <row r="663" s="100" customFormat="1" ht="12.75" x14ac:dyDescent="0.2"/>
    <row r="664" s="100" customFormat="1" ht="12.75" x14ac:dyDescent="0.2"/>
    <row r="665" s="100" customFormat="1" ht="12.75" x14ac:dyDescent="0.2"/>
    <row r="666" s="100" customFormat="1" ht="12.75" x14ac:dyDescent="0.2"/>
    <row r="667" s="100" customFormat="1" ht="12.75" x14ac:dyDescent="0.2"/>
    <row r="668" s="100" customFormat="1" ht="12.75" x14ac:dyDescent="0.2"/>
    <row r="669" s="100" customFormat="1" ht="12.75" x14ac:dyDescent="0.2"/>
    <row r="670" s="100" customFormat="1" ht="12.75" x14ac:dyDescent="0.2"/>
    <row r="671" s="100" customFormat="1" ht="12.75" x14ac:dyDescent="0.2"/>
    <row r="672" s="100" customFormat="1" ht="12.75" x14ac:dyDescent="0.2"/>
    <row r="673" s="100" customFormat="1" ht="12.75" x14ac:dyDescent="0.2"/>
    <row r="674" s="100" customFormat="1" ht="12.75" x14ac:dyDescent="0.2"/>
    <row r="675" s="100" customFormat="1" ht="12.75" x14ac:dyDescent="0.2"/>
    <row r="676" s="100" customFormat="1" ht="12.75" x14ac:dyDescent="0.2"/>
    <row r="677" s="100" customFormat="1" ht="12.75" x14ac:dyDescent="0.2"/>
    <row r="678" s="100" customFormat="1" ht="12.75" x14ac:dyDescent="0.2"/>
    <row r="679" s="100" customFormat="1" ht="12.75" x14ac:dyDescent="0.2"/>
    <row r="680" s="100" customFormat="1" ht="12.75" x14ac:dyDescent="0.2"/>
    <row r="681" s="100" customFormat="1" ht="12.75" x14ac:dyDescent="0.2"/>
    <row r="682" s="100" customFormat="1" ht="12.75" x14ac:dyDescent="0.2"/>
    <row r="683" s="100" customFormat="1" ht="12.75" x14ac:dyDescent="0.2"/>
    <row r="684" s="100" customFormat="1" ht="12.75" x14ac:dyDescent="0.2"/>
    <row r="685" s="100" customFormat="1" ht="12.75" x14ac:dyDescent="0.2"/>
    <row r="686" s="100" customFormat="1" ht="12.75" x14ac:dyDescent="0.2"/>
    <row r="687" s="100" customFormat="1" ht="12.75" x14ac:dyDescent="0.2"/>
    <row r="688" s="100" customFormat="1" ht="12.75" x14ac:dyDescent="0.2"/>
    <row r="689" s="100" customFormat="1" ht="12.75" x14ac:dyDescent="0.2"/>
    <row r="690" s="100" customFormat="1" ht="12.75" x14ac:dyDescent="0.2"/>
    <row r="691" s="100" customFormat="1" ht="12.75" x14ac:dyDescent="0.2"/>
    <row r="692" s="100" customFormat="1" ht="12.75" x14ac:dyDescent="0.2"/>
    <row r="693" s="100" customFormat="1" ht="12.75" x14ac:dyDescent="0.2"/>
    <row r="694" s="100" customFormat="1" ht="12.75" x14ac:dyDescent="0.2"/>
    <row r="695" s="100" customFormat="1" ht="12.75" x14ac:dyDescent="0.2"/>
    <row r="696" s="100" customFormat="1" ht="12.75" x14ac:dyDescent="0.2"/>
    <row r="697" s="100" customFormat="1" ht="12.75" x14ac:dyDescent="0.2"/>
    <row r="698" s="100" customFormat="1" ht="12.75" x14ac:dyDescent="0.2"/>
    <row r="699" s="100" customFormat="1" ht="12.75" x14ac:dyDescent="0.2"/>
    <row r="700" s="100" customFormat="1" ht="12.75" x14ac:dyDescent="0.2"/>
    <row r="701" s="100" customFormat="1" ht="12.75" x14ac:dyDescent="0.2"/>
    <row r="702" s="100" customFormat="1" ht="12.75" x14ac:dyDescent="0.2"/>
    <row r="703" s="100" customFormat="1" ht="12.75" x14ac:dyDescent="0.2"/>
    <row r="704" s="100" customFormat="1" ht="12.75" x14ac:dyDescent="0.2"/>
    <row r="705" s="100" customFormat="1" ht="12.75" x14ac:dyDescent="0.2"/>
    <row r="706" s="100" customFormat="1" ht="12.75" x14ac:dyDescent="0.2"/>
    <row r="707" s="100" customFormat="1" ht="12.75" x14ac:dyDescent="0.2"/>
    <row r="708" s="100" customFormat="1" ht="12.75" x14ac:dyDescent="0.2"/>
    <row r="709" s="100" customFormat="1" ht="12.75" x14ac:dyDescent="0.2"/>
    <row r="710" s="100" customFormat="1" ht="12.75" x14ac:dyDescent="0.2"/>
    <row r="711" s="100" customFormat="1" ht="12.75" x14ac:dyDescent="0.2"/>
    <row r="712" s="100" customFormat="1" ht="12.75" x14ac:dyDescent="0.2"/>
    <row r="713" s="100" customFormat="1" ht="12.75" x14ac:dyDescent="0.2"/>
    <row r="714" s="100" customFormat="1" ht="12.75" x14ac:dyDescent="0.2"/>
    <row r="715" s="100" customFormat="1" ht="12.75" x14ac:dyDescent="0.2"/>
    <row r="716" s="100" customFormat="1" ht="12.75" x14ac:dyDescent="0.2"/>
    <row r="717" s="100" customFormat="1" ht="12.75" x14ac:dyDescent="0.2"/>
    <row r="718" s="100" customFormat="1" ht="12.75" x14ac:dyDescent="0.2"/>
    <row r="719" s="100" customFormat="1" ht="12.75" x14ac:dyDescent="0.2"/>
    <row r="720" s="100" customFormat="1" ht="12.75" x14ac:dyDescent="0.2"/>
    <row r="721" s="100" customFormat="1" ht="12.75" x14ac:dyDescent="0.2"/>
    <row r="722" s="100" customFormat="1" ht="12.75" x14ac:dyDescent="0.2"/>
    <row r="723" s="100" customFormat="1" ht="12.75" x14ac:dyDescent="0.2"/>
    <row r="724" s="100" customFormat="1" ht="12.75" x14ac:dyDescent="0.2"/>
    <row r="725" s="100" customFormat="1" ht="12.75" x14ac:dyDescent="0.2"/>
    <row r="726" s="100" customFormat="1" ht="12.75" x14ac:dyDescent="0.2"/>
    <row r="727" s="100" customFormat="1" ht="12.75" x14ac:dyDescent="0.2"/>
    <row r="728" s="100" customFormat="1" ht="12.75" x14ac:dyDescent="0.2"/>
    <row r="729" s="100" customFormat="1" ht="12.75" x14ac:dyDescent="0.2"/>
    <row r="730" s="100" customFormat="1" ht="12.75" x14ac:dyDescent="0.2"/>
    <row r="731" s="100" customFormat="1" ht="12.75" x14ac:dyDescent="0.2"/>
    <row r="732" s="100" customFormat="1" ht="12.75" x14ac:dyDescent="0.2"/>
    <row r="733" s="100" customFormat="1" ht="12.75" x14ac:dyDescent="0.2"/>
    <row r="734" s="100" customFormat="1" ht="12.75" x14ac:dyDescent="0.2"/>
    <row r="735" s="100" customFormat="1" ht="12.75" x14ac:dyDescent="0.2"/>
    <row r="736" s="100" customFormat="1" ht="12.75" x14ac:dyDescent="0.2"/>
    <row r="737" s="100" customFormat="1" ht="12.75" x14ac:dyDescent="0.2"/>
    <row r="738" s="100" customFormat="1" ht="12.75" x14ac:dyDescent="0.2"/>
    <row r="739" s="100" customFormat="1" ht="12.75" x14ac:dyDescent="0.2"/>
    <row r="740" s="100" customFormat="1" ht="12.75" x14ac:dyDescent="0.2"/>
    <row r="741" s="100" customFormat="1" ht="12.75" x14ac:dyDescent="0.2"/>
    <row r="742" s="100" customFormat="1" ht="12.75" x14ac:dyDescent="0.2"/>
    <row r="743" s="100" customFormat="1" ht="12.75" x14ac:dyDescent="0.2"/>
    <row r="744" s="100" customFormat="1" ht="12.75" x14ac:dyDescent="0.2"/>
    <row r="745" s="100" customFormat="1" ht="12.75" x14ac:dyDescent="0.2"/>
    <row r="746" s="100" customFormat="1" ht="12.75" x14ac:dyDescent="0.2"/>
    <row r="747" s="100" customFormat="1" ht="12.75" x14ac:dyDescent="0.2"/>
    <row r="748" s="100" customFormat="1" ht="12.75" x14ac:dyDescent="0.2"/>
    <row r="749" s="100" customFormat="1" ht="12.75" x14ac:dyDescent="0.2"/>
    <row r="750" s="100" customFormat="1" ht="12.75" x14ac:dyDescent="0.2"/>
    <row r="751" s="100" customFormat="1" ht="12.75" x14ac:dyDescent="0.2"/>
    <row r="752" s="100" customFormat="1" ht="12.75" x14ac:dyDescent="0.2"/>
    <row r="753" s="100" customFormat="1" ht="12.75" x14ac:dyDescent="0.2"/>
    <row r="754" s="100" customFormat="1" ht="12.75" x14ac:dyDescent="0.2"/>
    <row r="755" s="100" customFormat="1" ht="12.75" x14ac:dyDescent="0.2"/>
    <row r="756" s="100" customFormat="1" ht="12.75" x14ac:dyDescent="0.2"/>
    <row r="757" s="100" customFormat="1" ht="12.75" x14ac:dyDescent="0.2"/>
    <row r="758" s="100" customFormat="1" ht="12.75" x14ac:dyDescent="0.2"/>
    <row r="759" s="100" customFormat="1" ht="12.75" x14ac:dyDescent="0.2"/>
    <row r="760" s="100" customFormat="1" ht="12.75" x14ac:dyDescent="0.2"/>
    <row r="761" s="100" customFormat="1" ht="12.75" x14ac:dyDescent="0.2"/>
    <row r="762" s="100" customFormat="1" ht="12.75" x14ac:dyDescent="0.2"/>
    <row r="763" s="100" customFormat="1" ht="12.75" x14ac:dyDescent="0.2"/>
    <row r="764" s="100" customFormat="1" ht="12.75" x14ac:dyDescent="0.2"/>
    <row r="765" s="100" customFormat="1" ht="12.75" x14ac:dyDescent="0.2"/>
    <row r="766" s="100" customFormat="1" ht="12.75" x14ac:dyDescent="0.2"/>
    <row r="767" s="100" customFormat="1" ht="12.75" x14ac:dyDescent="0.2"/>
    <row r="768" s="100" customFormat="1" ht="12.75" x14ac:dyDescent="0.2"/>
    <row r="769" s="100" customFormat="1" ht="12.75" x14ac:dyDescent="0.2"/>
    <row r="770" s="100" customFormat="1" ht="12.75" x14ac:dyDescent="0.2"/>
    <row r="771" s="100" customFormat="1" ht="12.75" x14ac:dyDescent="0.2"/>
    <row r="772" s="100" customFormat="1" ht="12.75" x14ac:dyDescent="0.2"/>
    <row r="773" s="100" customFormat="1" ht="12.75" x14ac:dyDescent="0.2"/>
    <row r="774" s="100" customFormat="1" ht="12.75" x14ac:dyDescent="0.2"/>
    <row r="775" s="100" customFormat="1" ht="12.75" x14ac:dyDescent="0.2"/>
    <row r="776" s="100" customFormat="1" ht="12.75" x14ac:dyDescent="0.2"/>
    <row r="777" s="100" customFormat="1" ht="12.75" x14ac:dyDescent="0.2"/>
    <row r="778" s="100" customFormat="1" ht="12.75" x14ac:dyDescent="0.2"/>
    <row r="779" s="100" customFormat="1" ht="12.75" x14ac:dyDescent="0.2"/>
    <row r="780" s="100" customFormat="1" ht="12.75" x14ac:dyDescent="0.2"/>
    <row r="781" s="100" customFormat="1" ht="12.75" x14ac:dyDescent="0.2"/>
    <row r="782" s="100" customFormat="1" ht="12.75" x14ac:dyDescent="0.2"/>
    <row r="783" s="100" customFormat="1" ht="12.75" x14ac:dyDescent="0.2"/>
    <row r="784" s="100" customFormat="1" ht="12.75" x14ac:dyDescent="0.2"/>
    <row r="785" s="100" customFormat="1" ht="12.75" x14ac:dyDescent="0.2"/>
    <row r="786" s="100" customFormat="1" ht="12.75" x14ac:dyDescent="0.2"/>
    <row r="787" s="100" customFormat="1" ht="12.75" x14ac:dyDescent="0.2"/>
    <row r="788" s="100" customFormat="1" ht="12.75" x14ac:dyDescent="0.2"/>
    <row r="789" s="100" customFormat="1" ht="12.75" x14ac:dyDescent="0.2"/>
    <row r="790" s="100" customFormat="1" ht="12.75" x14ac:dyDescent="0.2"/>
    <row r="791" s="100" customFormat="1" ht="12.75" x14ac:dyDescent="0.2"/>
    <row r="792" s="100" customFormat="1" ht="12.75" x14ac:dyDescent="0.2"/>
    <row r="793" s="100" customFormat="1" ht="12.75" x14ac:dyDescent="0.2"/>
    <row r="794" s="100" customFormat="1" ht="12.75" x14ac:dyDescent="0.2"/>
    <row r="795" s="100" customFormat="1" ht="12.75" x14ac:dyDescent="0.2"/>
    <row r="796" s="100" customFormat="1" ht="12.75" x14ac:dyDescent="0.2"/>
    <row r="797" s="100" customFormat="1" ht="12.75" x14ac:dyDescent="0.2"/>
    <row r="798" s="100" customFormat="1" ht="12.75" x14ac:dyDescent="0.2"/>
    <row r="799" s="100" customFormat="1" ht="12.75" x14ac:dyDescent="0.2"/>
    <row r="800" s="100" customFormat="1" ht="12.75" x14ac:dyDescent="0.2"/>
    <row r="801" s="100" customFormat="1" ht="12.75" x14ac:dyDescent="0.2"/>
    <row r="802" s="100" customFormat="1" ht="12.75" x14ac:dyDescent="0.2"/>
    <row r="803" s="100" customFormat="1" ht="12.75" x14ac:dyDescent="0.2"/>
    <row r="804" s="100" customFormat="1" ht="12.75" x14ac:dyDescent="0.2"/>
    <row r="805" s="100" customFormat="1" ht="12.75" x14ac:dyDescent="0.2"/>
    <row r="806" s="100" customFormat="1" ht="12.75" x14ac:dyDescent="0.2"/>
    <row r="807" s="100" customFormat="1" ht="12.75" x14ac:dyDescent="0.2"/>
    <row r="808" s="100" customFormat="1" ht="12.75" x14ac:dyDescent="0.2"/>
    <row r="809" s="100" customFormat="1" ht="12.75" x14ac:dyDescent="0.2"/>
    <row r="810" s="100" customFormat="1" ht="12.75" x14ac:dyDescent="0.2"/>
    <row r="811" s="100" customFormat="1" ht="12.75" x14ac:dyDescent="0.2"/>
    <row r="812" s="100" customFormat="1" ht="12.75" x14ac:dyDescent="0.2"/>
    <row r="813" s="100" customFormat="1" ht="12.75" x14ac:dyDescent="0.2"/>
    <row r="814" s="100" customFormat="1" ht="12.75" x14ac:dyDescent="0.2"/>
    <row r="815" s="100" customFormat="1" ht="12.75" x14ac:dyDescent="0.2"/>
    <row r="816" s="100" customFormat="1" ht="12.75" x14ac:dyDescent="0.2"/>
    <row r="817" s="100" customFormat="1" ht="12.75" x14ac:dyDescent="0.2"/>
    <row r="818" s="100" customFormat="1" ht="12.75" x14ac:dyDescent="0.2"/>
    <row r="819" s="100" customFormat="1" ht="12.75" x14ac:dyDescent="0.2"/>
    <row r="820" s="100" customFormat="1" ht="12.75" x14ac:dyDescent="0.2"/>
    <row r="821" s="100" customFormat="1" ht="12.75" x14ac:dyDescent="0.2"/>
    <row r="822" s="100" customFormat="1" ht="12.75" x14ac:dyDescent="0.2"/>
    <row r="823" s="100" customFormat="1" ht="12.75" x14ac:dyDescent="0.2"/>
    <row r="824" s="100" customFormat="1" ht="12.75" x14ac:dyDescent="0.2"/>
    <row r="825" s="100" customFormat="1" ht="12.75" x14ac:dyDescent="0.2"/>
    <row r="826" s="100" customFormat="1" ht="12.75" x14ac:dyDescent="0.2"/>
    <row r="827" s="100" customFormat="1" ht="12.75" x14ac:dyDescent="0.2"/>
    <row r="828" s="100" customFormat="1" ht="12.75" x14ac:dyDescent="0.2"/>
    <row r="829" s="100" customFormat="1" ht="12.75" x14ac:dyDescent="0.2"/>
    <row r="830" s="100" customFormat="1" ht="12.75" x14ac:dyDescent="0.2"/>
    <row r="831" s="100" customFormat="1" ht="12.75" x14ac:dyDescent="0.2"/>
    <row r="832" s="100" customFormat="1" ht="12.75" x14ac:dyDescent="0.2"/>
    <row r="833" s="100" customFormat="1" ht="12.75" x14ac:dyDescent="0.2"/>
    <row r="834" s="100" customFormat="1" ht="12.75" x14ac:dyDescent="0.2"/>
    <row r="835" s="100" customFormat="1" ht="12.75" x14ac:dyDescent="0.2"/>
    <row r="836" s="100" customFormat="1" ht="12.75" x14ac:dyDescent="0.2"/>
    <row r="837" s="100" customFormat="1" ht="12.75" x14ac:dyDescent="0.2"/>
    <row r="838" s="100" customFormat="1" ht="12.75" x14ac:dyDescent="0.2"/>
    <row r="839" s="100" customFormat="1" ht="12.75" x14ac:dyDescent="0.2"/>
    <row r="840" s="100" customFormat="1" ht="12.75" x14ac:dyDescent="0.2"/>
    <row r="841" s="100" customFormat="1" ht="12.75" x14ac:dyDescent="0.2"/>
    <row r="842" s="100" customFormat="1" ht="12.75" x14ac:dyDescent="0.2"/>
    <row r="843" s="100" customFormat="1" ht="12.75" x14ac:dyDescent="0.2"/>
    <row r="844" s="100" customFormat="1" ht="12.75" x14ac:dyDescent="0.2"/>
    <row r="845" s="100" customFormat="1" ht="12.75" x14ac:dyDescent="0.2"/>
    <row r="846" s="100" customFormat="1" ht="12.75" x14ac:dyDescent="0.2"/>
    <row r="847" s="100" customFormat="1" ht="12.75" x14ac:dyDescent="0.2"/>
    <row r="848" s="100" customFormat="1" ht="12.75" x14ac:dyDescent="0.2"/>
    <row r="849" s="100" customFormat="1" ht="12.75" x14ac:dyDescent="0.2"/>
    <row r="850" s="100" customFormat="1" ht="12.75" x14ac:dyDescent="0.2"/>
    <row r="851" s="100" customFormat="1" ht="12.75" x14ac:dyDescent="0.2"/>
    <row r="852" s="100" customFormat="1" ht="12.75" x14ac:dyDescent="0.2"/>
    <row r="853" s="100" customFormat="1" ht="12.75" x14ac:dyDescent="0.2"/>
    <row r="854" s="100" customFormat="1" ht="12.75" x14ac:dyDescent="0.2"/>
    <row r="855" s="100" customFormat="1" ht="12.75" x14ac:dyDescent="0.2"/>
    <row r="856" s="100" customFormat="1" ht="12.75" x14ac:dyDescent="0.2"/>
    <row r="857" s="100" customFormat="1" ht="12.75" x14ac:dyDescent="0.2"/>
    <row r="858" s="100" customFormat="1" ht="12.75" x14ac:dyDescent="0.2"/>
    <row r="859" s="100" customFormat="1" ht="12.75" x14ac:dyDescent="0.2"/>
    <row r="860" s="100" customFormat="1" ht="12.75" x14ac:dyDescent="0.2"/>
    <row r="861" s="100" customFormat="1" ht="12.75" x14ac:dyDescent="0.2"/>
    <row r="862" s="100" customFormat="1" ht="12.75" x14ac:dyDescent="0.2"/>
    <row r="863" s="100" customFormat="1" ht="12.75" x14ac:dyDescent="0.2"/>
    <row r="864" s="100" customFormat="1" ht="12.75" x14ac:dyDescent="0.2"/>
    <row r="865" s="100" customFormat="1" ht="12.75" x14ac:dyDescent="0.2"/>
    <row r="866" s="100" customFormat="1" ht="12.75" x14ac:dyDescent="0.2"/>
    <row r="867" s="100" customFormat="1" ht="12.75" x14ac:dyDescent="0.2"/>
    <row r="868" s="100" customFormat="1" ht="12.75" x14ac:dyDescent="0.2"/>
    <row r="869" s="100" customFormat="1" ht="12.75" x14ac:dyDescent="0.2"/>
    <row r="870" s="100" customFormat="1" ht="12.75" x14ac:dyDescent="0.2"/>
    <row r="871" s="100" customFormat="1" ht="12.75" x14ac:dyDescent="0.2"/>
    <row r="872" s="100" customFormat="1" ht="12.75" x14ac:dyDescent="0.2"/>
    <row r="873" s="100" customFormat="1" ht="12.75" x14ac:dyDescent="0.2"/>
    <row r="874" s="100" customFormat="1" ht="12.75" x14ac:dyDescent="0.2"/>
    <row r="875" s="100" customFormat="1" ht="12.75" x14ac:dyDescent="0.2"/>
    <row r="876" s="100" customFormat="1" ht="12.75" x14ac:dyDescent="0.2"/>
    <row r="877" s="100" customFormat="1" ht="12.75" x14ac:dyDescent="0.2"/>
    <row r="878" s="100" customFormat="1" ht="12.75" x14ac:dyDescent="0.2"/>
    <row r="879" s="100" customFormat="1" ht="12.75" x14ac:dyDescent="0.2"/>
    <row r="880" s="100" customFormat="1" ht="12.75" x14ac:dyDescent="0.2"/>
    <row r="881" s="100" customFormat="1" ht="12.75" x14ac:dyDescent="0.2"/>
    <row r="882" s="100" customFormat="1" ht="12.75" x14ac:dyDescent="0.2"/>
    <row r="883" s="100" customFormat="1" ht="12.75" x14ac:dyDescent="0.2"/>
    <row r="884" s="100" customFormat="1" ht="12.75" x14ac:dyDescent="0.2"/>
    <row r="885" s="100" customFormat="1" ht="12.75" x14ac:dyDescent="0.2"/>
    <row r="886" s="100" customFormat="1" ht="12.75" x14ac:dyDescent="0.2"/>
    <row r="887" s="100" customFormat="1" ht="12.75" x14ac:dyDescent="0.2"/>
    <row r="888" s="100" customFormat="1" ht="12.75" x14ac:dyDescent="0.2"/>
    <row r="889" s="100" customFormat="1" ht="12.75" x14ac:dyDescent="0.2"/>
    <row r="890" s="100" customFormat="1" ht="12.75" x14ac:dyDescent="0.2"/>
    <row r="891" s="100" customFormat="1" ht="12.75" x14ac:dyDescent="0.2"/>
    <row r="892" s="100" customFormat="1" ht="12.75" x14ac:dyDescent="0.2"/>
    <row r="893" s="100" customFormat="1" ht="12.75" x14ac:dyDescent="0.2"/>
    <row r="894" s="100" customFormat="1" ht="12.75" x14ac:dyDescent="0.2"/>
    <row r="895" s="100" customFormat="1" ht="12.75" x14ac:dyDescent="0.2"/>
    <row r="896" s="100" customFormat="1" ht="12.75" x14ac:dyDescent="0.2"/>
    <row r="897" s="100" customFormat="1" ht="12.75" x14ac:dyDescent="0.2"/>
    <row r="898" s="100" customFormat="1" ht="12.75" x14ac:dyDescent="0.2"/>
    <row r="899" s="100" customFormat="1" ht="12.75" x14ac:dyDescent="0.2"/>
    <row r="900" s="100" customFormat="1" ht="12.75" x14ac:dyDescent="0.2"/>
    <row r="901" s="100" customFormat="1" ht="12.75" x14ac:dyDescent="0.2"/>
    <row r="902" s="100" customFormat="1" ht="12.75" x14ac:dyDescent="0.2"/>
    <row r="903" s="100" customFormat="1" ht="12.75" x14ac:dyDescent="0.2"/>
    <row r="904" s="100" customFormat="1" ht="12.75" x14ac:dyDescent="0.2"/>
    <row r="905" s="100" customFormat="1" ht="12.75" x14ac:dyDescent="0.2"/>
    <row r="906" s="100" customFormat="1" ht="12.75" x14ac:dyDescent="0.2"/>
    <row r="907" s="100" customFormat="1" ht="12.75" x14ac:dyDescent="0.2"/>
    <row r="908" s="100" customFormat="1" ht="12.75" x14ac:dyDescent="0.2"/>
    <row r="909" s="100" customFormat="1" ht="12.75" x14ac:dyDescent="0.2"/>
    <row r="910" s="100" customFormat="1" ht="12.75" x14ac:dyDescent="0.2"/>
    <row r="911" s="100" customFormat="1" ht="12.75" x14ac:dyDescent="0.2"/>
    <row r="912" s="100" customFormat="1" ht="12.75" x14ac:dyDescent="0.2"/>
    <row r="913" s="100" customFormat="1" ht="12.75" x14ac:dyDescent="0.2"/>
    <row r="914" s="100" customFormat="1" ht="12.75" x14ac:dyDescent="0.2"/>
    <row r="915" s="100" customFormat="1" ht="12.75" x14ac:dyDescent="0.2"/>
    <row r="916" s="100" customFormat="1" ht="12.75" x14ac:dyDescent="0.2"/>
    <row r="917" s="100" customFormat="1" ht="12.75" x14ac:dyDescent="0.2"/>
    <row r="918" s="100" customFormat="1" ht="12.75" x14ac:dyDescent="0.2"/>
    <row r="919" s="100" customFormat="1" ht="12.75" x14ac:dyDescent="0.2"/>
    <row r="920" s="100" customFormat="1" ht="12.75" x14ac:dyDescent="0.2"/>
    <row r="921" s="100" customFormat="1" ht="12.75" x14ac:dyDescent="0.2"/>
    <row r="922" s="100" customFormat="1" ht="12.75" x14ac:dyDescent="0.2"/>
    <row r="923" s="100" customFormat="1" ht="12.75" x14ac:dyDescent="0.2"/>
    <row r="924" s="100" customFormat="1" ht="12.75" x14ac:dyDescent="0.2"/>
    <row r="925" s="100" customFormat="1" ht="12.75" x14ac:dyDescent="0.2"/>
    <row r="926" s="100" customFormat="1" ht="12.75" x14ac:dyDescent="0.2"/>
    <row r="927" s="100" customFormat="1" ht="12.75" x14ac:dyDescent="0.2"/>
    <row r="928" s="100" customFormat="1" ht="12.75" x14ac:dyDescent="0.2"/>
    <row r="929" s="100" customFormat="1" ht="12.75" x14ac:dyDescent="0.2"/>
    <row r="930" s="100" customFormat="1" ht="12.75" x14ac:dyDescent="0.2"/>
    <row r="931" s="100" customFormat="1" ht="12.75" x14ac:dyDescent="0.2"/>
    <row r="932" s="100" customFormat="1" ht="12.75" x14ac:dyDescent="0.2"/>
    <row r="933" s="100" customFormat="1" ht="12.75" x14ac:dyDescent="0.2"/>
    <row r="934" s="100" customFormat="1" ht="12.75" x14ac:dyDescent="0.2"/>
    <row r="935" s="100" customFormat="1" ht="12.75" x14ac:dyDescent="0.2"/>
    <row r="936" s="100" customFormat="1" ht="12.75" x14ac:dyDescent="0.2"/>
    <row r="937" s="100" customFormat="1" ht="12.75" x14ac:dyDescent="0.2"/>
    <row r="938" s="100" customFormat="1" ht="12.75" x14ac:dyDescent="0.2"/>
    <row r="939" s="100" customFormat="1" ht="12.75" x14ac:dyDescent="0.2"/>
    <row r="940" s="100" customFormat="1" ht="12.75" x14ac:dyDescent="0.2"/>
    <row r="941" s="100" customFormat="1" ht="12.75" x14ac:dyDescent="0.2"/>
    <row r="942" s="100" customFormat="1" ht="12.75" x14ac:dyDescent="0.2"/>
    <row r="943" s="100" customFormat="1" ht="12.75" x14ac:dyDescent="0.2"/>
    <row r="944" s="100" customFormat="1" ht="12.75" x14ac:dyDescent="0.2"/>
    <row r="945" s="100" customFormat="1" ht="12.75" x14ac:dyDescent="0.2"/>
    <row r="946" s="100" customFormat="1" ht="12.75" x14ac:dyDescent="0.2"/>
    <row r="947" s="100" customFormat="1" ht="12.75" x14ac:dyDescent="0.2"/>
    <row r="948" s="100" customFormat="1" ht="12.75" x14ac:dyDescent="0.2"/>
    <row r="949" s="100" customFormat="1" ht="12.75" x14ac:dyDescent="0.2"/>
    <row r="950" s="100" customFormat="1" ht="12.75" x14ac:dyDescent="0.2"/>
    <row r="951" s="100" customFormat="1" ht="12.75" x14ac:dyDescent="0.2"/>
    <row r="952" s="100" customFormat="1" ht="12.75" x14ac:dyDescent="0.2"/>
    <row r="953" s="100" customFormat="1" ht="12.75" x14ac:dyDescent="0.2"/>
    <row r="954" s="100" customFormat="1" ht="12.75" x14ac:dyDescent="0.2"/>
    <row r="955" s="100" customFormat="1" ht="12.75" x14ac:dyDescent="0.2"/>
    <row r="956" s="100" customFormat="1" ht="12.75" x14ac:dyDescent="0.2"/>
    <row r="957" s="100" customFormat="1" ht="12.75" x14ac:dyDescent="0.2"/>
    <row r="958" s="100" customFormat="1" ht="12.75" x14ac:dyDescent="0.2"/>
    <row r="959" s="100" customFormat="1" ht="12.75" x14ac:dyDescent="0.2"/>
    <row r="960" s="100" customFormat="1" ht="12.75" x14ac:dyDescent="0.2"/>
    <row r="961" s="100" customFormat="1" ht="12.75" x14ac:dyDescent="0.2"/>
    <row r="962" s="100" customFormat="1" ht="12.75" x14ac:dyDescent="0.2"/>
    <row r="963" s="100" customFormat="1" ht="12.75" x14ac:dyDescent="0.2"/>
    <row r="964" s="100" customFormat="1" ht="12.75" x14ac:dyDescent="0.2"/>
    <row r="965" s="100" customFormat="1" ht="12.75" x14ac:dyDescent="0.2"/>
    <row r="966" s="100" customFormat="1" ht="12.75" x14ac:dyDescent="0.2"/>
    <row r="967" s="100" customFormat="1" ht="12.75" x14ac:dyDescent="0.2"/>
    <row r="968" s="100" customFormat="1" ht="12.75" x14ac:dyDescent="0.2"/>
    <row r="969" s="100" customFormat="1" ht="12.75" x14ac:dyDescent="0.2"/>
    <row r="970" s="100" customFormat="1" ht="12.75" x14ac:dyDescent="0.2"/>
    <row r="971" s="100" customFormat="1" ht="12.75" x14ac:dyDescent="0.2"/>
    <row r="972" s="100" customFormat="1" ht="12.75" x14ac:dyDescent="0.2"/>
    <row r="973" s="100" customFormat="1" ht="12.75" x14ac:dyDescent="0.2"/>
    <row r="974" s="100" customFormat="1" ht="12.75" x14ac:dyDescent="0.2"/>
    <row r="975" s="100" customFormat="1" ht="12.75" x14ac:dyDescent="0.2"/>
    <row r="976" s="100" customFormat="1" ht="12.75" x14ac:dyDescent="0.2"/>
    <row r="977" s="100" customFormat="1" ht="12.75" x14ac:dyDescent="0.2"/>
    <row r="978" s="100" customFormat="1" ht="12.75" x14ac:dyDescent="0.2"/>
    <row r="979" s="100" customFormat="1" ht="12.75" x14ac:dyDescent="0.2"/>
    <row r="980" s="100" customFormat="1" ht="12.75" x14ac:dyDescent="0.2"/>
    <row r="981" s="100" customFormat="1" ht="12.75" x14ac:dyDescent="0.2"/>
    <row r="982" s="100" customFormat="1" ht="12.75" x14ac:dyDescent="0.2"/>
    <row r="983" s="100" customFormat="1" ht="12.75" x14ac:dyDescent="0.2"/>
    <row r="984" s="100" customFormat="1" ht="12.75" x14ac:dyDescent="0.2"/>
    <row r="985" s="100" customFormat="1" ht="12.75" x14ac:dyDescent="0.2"/>
    <row r="986" s="100" customFormat="1" ht="12.75" x14ac:dyDescent="0.2"/>
    <row r="987" s="100" customFormat="1" ht="12.75" x14ac:dyDescent="0.2"/>
    <row r="988" s="100" customFormat="1" ht="12.75" x14ac:dyDescent="0.2"/>
    <row r="989" s="100" customFormat="1" ht="12.75" x14ac:dyDescent="0.2"/>
    <row r="990" s="100" customFormat="1" ht="12.75" x14ac:dyDescent="0.2"/>
    <row r="991" s="100" customFormat="1" ht="12.75" x14ac:dyDescent="0.2"/>
    <row r="992" s="100" customFormat="1" ht="12.75" x14ac:dyDescent="0.2"/>
    <row r="993" s="100" customFormat="1" ht="12.75" x14ac:dyDescent="0.2"/>
    <row r="994" s="100" customFormat="1" ht="12.75" x14ac:dyDescent="0.2"/>
    <row r="995" s="100" customFormat="1" ht="12.75" x14ac:dyDescent="0.2"/>
    <row r="996" s="100" customFormat="1" ht="12.75" x14ac:dyDescent="0.2"/>
    <row r="997" s="100" customFormat="1" ht="12.75" x14ac:dyDescent="0.2"/>
    <row r="998" s="100" customFormat="1" ht="12.75" x14ac:dyDescent="0.2"/>
    <row r="999" s="100" customFormat="1" ht="12.75" x14ac:dyDescent="0.2"/>
    <row r="1000" s="100" customFormat="1" ht="12.75" x14ac:dyDescent="0.2"/>
    <row r="1001" s="100" customFormat="1" ht="12.75" x14ac:dyDescent="0.2"/>
    <row r="1002" s="100" customFormat="1" ht="12.75" x14ac:dyDescent="0.2"/>
    <row r="1003" s="100" customFormat="1" ht="12.75" x14ac:dyDescent="0.2"/>
    <row r="1004" s="100" customFormat="1" ht="12.75" x14ac:dyDescent="0.2"/>
    <row r="1005" s="100" customFormat="1" ht="12.75" x14ac:dyDescent="0.2"/>
    <row r="1006" s="100" customFormat="1" ht="12.75" x14ac:dyDescent="0.2"/>
    <row r="1007" s="100" customFormat="1" ht="12.75" x14ac:dyDescent="0.2"/>
    <row r="1008" s="100" customFormat="1" ht="12.75" x14ac:dyDescent="0.2"/>
    <row r="1009" s="100" customFormat="1" ht="12.75" x14ac:dyDescent="0.2"/>
    <row r="1010" s="100" customFormat="1" ht="12.75" x14ac:dyDescent="0.2"/>
    <row r="1011" s="100" customFormat="1" ht="12.75" x14ac:dyDescent="0.2"/>
    <row r="1012" s="100" customFormat="1" ht="12.75" x14ac:dyDescent="0.2"/>
    <row r="1013" s="100" customFormat="1" ht="12.75" x14ac:dyDescent="0.2"/>
    <row r="1014" s="100" customFormat="1" ht="12.75" x14ac:dyDescent="0.2"/>
    <row r="1015" s="100" customFormat="1" ht="12.75" x14ac:dyDescent="0.2"/>
    <row r="1016" s="100" customFormat="1" ht="12.75" x14ac:dyDescent="0.2"/>
    <row r="1017" s="100" customFormat="1" ht="12.75" x14ac:dyDescent="0.2"/>
    <row r="1018" s="100" customFormat="1" ht="12.75" x14ac:dyDescent="0.2"/>
    <row r="1019" s="100" customFormat="1" ht="12.75" x14ac:dyDescent="0.2"/>
    <row r="1020" s="100" customFormat="1" ht="12.75" x14ac:dyDescent="0.2"/>
    <row r="1021" s="100" customFormat="1" ht="12.75" x14ac:dyDescent="0.2"/>
    <row r="1022" s="100" customFormat="1" ht="12.75" x14ac:dyDescent="0.2"/>
    <row r="1023" s="100" customFormat="1" ht="12.75" x14ac:dyDescent="0.2"/>
    <row r="1024" s="100" customFormat="1" ht="12.75" x14ac:dyDescent="0.2"/>
    <row r="1025" s="100" customFormat="1" ht="12.75" x14ac:dyDescent="0.2"/>
    <row r="1026" s="100" customFormat="1" ht="12.75" x14ac:dyDescent="0.2"/>
    <row r="1027" s="100" customFormat="1" ht="12.75" x14ac:dyDescent="0.2"/>
    <row r="1028" s="100" customFormat="1" ht="12.75" x14ac:dyDescent="0.2"/>
    <row r="1029" s="100" customFormat="1" ht="12.75" x14ac:dyDescent="0.2"/>
    <row r="1030" s="100" customFormat="1" ht="12.75" x14ac:dyDescent="0.2"/>
    <row r="1031" s="100" customFormat="1" ht="12.75" x14ac:dyDescent="0.2"/>
    <row r="1032" s="100" customFormat="1" ht="12.75" x14ac:dyDescent="0.2"/>
    <row r="1033" s="100" customFormat="1" ht="12.75" x14ac:dyDescent="0.2"/>
    <row r="1034" s="100" customFormat="1" ht="12.75" x14ac:dyDescent="0.2"/>
    <row r="1035" s="100" customFormat="1" ht="12.75" x14ac:dyDescent="0.2"/>
    <row r="1036" s="100" customFormat="1" ht="12.75" x14ac:dyDescent="0.2"/>
    <row r="1037" s="100" customFormat="1" ht="12.75" x14ac:dyDescent="0.2"/>
    <row r="1038" s="100" customFormat="1" ht="12.75" x14ac:dyDescent="0.2"/>
    <row r="1039" s="100" customFormat="1" ht="12.75" x14ac:dyDescent="0.2"/>
    <row r="1040" s="100" customFormat="1" ht="12.75" x14ac:dyDescent="0.2"/>
    <row r="1041" s="100" customFormat="1" ht="12.75" x14ac:dyDescent="0.2"/>
    <row r="1042" s="100" customFormat="1" ht="12.75" x14ac:dyDescent="0.2"/>
    <row r="1043" s="100" customFormat="1" ht="12.75" x14ac:dyDescent="0.2"/>
    <row r="1044" s="100" customFormat="1" ht="12.75" x14ac:dyDescent="0.2"/>
    <row r="1045" s="100" customFormat="1" ht="12.75" x14ac:dyDescent="0.2"/>
    <row r="1046" s="100" customFormat="1" ht="12.75" x14ac:dyDescent="0.2"/>
    <row r="1047" s="100" customFormat="1" ht="12.75" x14ac:dyDescent="0.2"/>
    <row r="1048" s="100" customFormat="1" ht="12.75" x14ac:dyDescent="0.2"/>
    <row r="1049" s="100" customFormat="1" ht="12.75" x14ac:dyDescent="0.2"/>
    <row r="1050" s="100" customFormat="1" ht="12.75" x14ac:dyDescent="0.2"/>
    <row r="1051" s="100" customFormat="1" ht="12.75" x14ac:dyDescent="0.2"/>
    <row r="1052" s="100" customFormat="1" ht="12.75" x14ac:dyDescent="0.2"/>
    <row r="1053" s="100" customFormat="1" ht="12.75" x14ac:dyDescent="0.2"/>
    <row r="1054" s="100" customFormat="1" ht="12.75" x14ac:dyDescent="0.2"/>
    <row r="1055" s="100" customFormat="1" ht="12.75" x14ac:dyDescent="0.2"/>
    <row r="1056" s="100" customFormat="1" ht="12.75" x14ac:dyDescent="0.2"/>
    <row r="1057" s="100" customFormat="1" ht="12.75" x14ac:dyDescent="0.2"/>
    <row r="1058" s="100" customFormat="1" ht="12.75" x14ac:dyDescent="0.2"/>
    <row r="1059" s="100" customFormat="1" ht="12.75" x14ac:dyDescent="0.2"/>
    <row r="1060" s="100" customFormat="1" ht="12.75" x14ac:dyDescent="0.2"/>
    <row r="1061" s="100" customFormat="1" ht="12.75" x14ac:dyDescent="0.2"/>
    <row r="1062" s="100" customFormat="1" ht="12.75" x14ac:dyDescent="0.2"/>
    <row r="1063" s="100" customFormat="1" ht="12.75" x14ac:dyDescent="0.2"/>
    <row r="1064" s="100" customFormat="1" ht="12.75" x14ac:dyDescent="0.2"/>
    <row r="1065" s="100" customFormat="1" ht="12.75" x14ac:dyDescent="0.2"/>
    <row r="1066" s="100" customFormat="1" ht="12.75" x14ac:dyDescent="0.2"/>
    <row r="1067" s="100" customFormat="1" ht="12.75" x14ac:dyDescent="0.2"/>
    <row r="1068" s="100" customFormat="1" ht="12.75" x14ac:dyDescent="0.2"/>
    <row r="1069" s="100" customFormat="1" ht="12.75" x14ac:dyDescent="0.2"/>
    <row r="1070" s="100" customFormat="1" ht="12.75" x14ac:dyDescent="0.2"/>
    <row r="1071" s="100" customFormat="1" ht="12.75" x14ac:dyDescent="0.2"/>
    <row r="1072" s="100" customFormat="1" ht="12.75" x14ac:dyDescent="0.2"/>
    <row r="1073" s="100" customFormat="1" ht="12.75" x14ac:dyDescent="0.2"/>
    <row r="1074" s="100" customFormat="1" ht="12.75" x14ac:dyDescent="0.2"/>
    <row r="1075" s="100" customFormat="1" ht="12.75" x14ac:dyDescent="0.2"/>
    <row r="1076" s="100" customFormat="1" ht="12.75" x14ac:dyDescent="0.2"/>
    <row r="1077" s="100" customFormat="1" ht="12.75" x14ac:dyDescent="0.2"/>
    <row r="1078" s="100" customFormat="1" ht="12.75" x14ac:dyDescent="0.2"/>
    <row r="1079" s="100" customFormat="1" ht="12.75" x14ac:dyDescent="0.2"/>
    <row r="1080" s="100" customFormat="1" ht="12.75" x14ac:dyDescent="0.2"/>
    <row r="1081" s="100" customFormat="1" ht="12.75" x14ac:dyDescent="0.2"/>
    <row r="1082" s="100" customFormat="1" ht="12.75" x14ac:dyDescent="0.2"/>
    <row r="1083" s="100" customFormat="1" ht="12.75" x14ac:dyDescent="0.2"/>
    <row r="1084" s="100" customFormat="1" ht="12.75" x14ac:dyDescent="0.2"/>
    <row r="1085" s="100" customFormat="1" ht="12.75" x14ac:dyDescent="0.2"/>
    <row r="1086" s="100" customFormat="1" ht="12.75" x14ac:dyDescent="0.2"/>
    <row r="1087" s="100" customFormat="1" ht="12.75" x14ac:dyDescent="0.2"/>
    <row r="1088" s="100" customFormat="1" ht="12.75" x14ac:dyDescent="0.2"/>
    <row r="1089" s="100" customFormat="1" ht="12.75" x14ac:dyDescent="0.2"/>
    <row r="1090" s="100" customFormat="1" ht="12.75" x14ac:dyDescent="0.2"/>
    <row r="1091" s="100" customFormat="1" ht="12.75" x14ac:dyDescent="0.2"/>
    <row r="1092" s="100" customFormat="1" ht="12.75" x14ac:dyDescent="0.2"/>
    <row r="1093" s="100" customFormat="1" ht="12.75" x14ac:dyDescent="0.2"/>
    <row r="1094" s="100" customFormat="1" ht="12.75" x14ac:dyDescent="0.2"/>
    <row r="1095" s="100" customFormat="1" ht="12.75" x14ac:dyDescent="0.2"/>
    <row r="1096" s="100" customFormat="1" ht="12.75" x14ac:dyDescent="0.2"/>
    <row r="1097" s="100" customFormat="1" ht="12.75" x14ac:dyDescent="0.2"/>
    <row r="1098" s="100" customFormat="1" ht="12.75" x14ac:dyDescent="0.2"/>
    <row r="1099" s="100" customFormat="1" ht="12.75" x14ac:dyDescent="0.2"/>
    <row r="1100" s="100" customFormat="1" ht="12.75" x14ac:dyDescent="0.2"/>
    <row r="1101" s="100" customFormat="1" ht="12.75" x14ac:dyDescent="0.2"/>
    <row r="1102" s="100" customFormat="1" ht="12.75" x14ac:dyDescent="0.2"/>
    <row r="1103" s="100" customFormat="1" ht="12.75" x14ac:dyDescent="0.2"/>
    <row r="1104" s="100" customFormat="1" ht="12.75" x14ac:dyDescent="0.2"/>
    <row r="1105" s="100" customFormat="1" ht="12.75" x14ac:dyDescent="0.2"/>
    <row r="1106" s="100" customFormat="1" ht="12.75" x14ac:dyDescent="0.2"/>
    <row r="1107" s="100" customFormat="1" ht="12.75" x14ac:dyDescent="0.2"/>
    <row r="1108" s="100" customFormat="1" ht="12.75" x14ac:dyDescent="0.2"/>
    <row r="1109" s="100" customFormat="1" ht="12.75" x14ac:dyDescent="0.2"/>
    <row r="1110" s="100" customFormat="1" ht="12.75" x14ac:dyDescent="0.2"/>
    <row r="1111" s="100" customFormat="1" ht="12.75" x14ac:dyDescent="0.2"/>
    <row r="1112" s="100" customFormat="1" ht="12.75" x14ac:dyDescent="0.2"/>
    <row r="1113" s="100" customFormat="1" ht="12.75" x14ac:dyDescent="0.2"/>
    <row r="1114" s="100" customFormat="1" ht="12.75" x14ac:dyDescent="0.2"/>
    <row r="1115" s="100" customFormat="1" ht="12.75" x14ac:dyDescent="0.2"/>
    <row r="1116" s="100" customFormat="1" ht="12.75" x14ac:dyDescent="0.2"/>
    <row r="1117" s="100" customFormat="1" ht="12.75" x14ac:dyDescent="0.2"/>
    <row r="1118" s="100" customFormat="1" ht="12.75" x14ac:dyDescent="0.2"/>
    <row r="1119" s="100" customFormat="1" ht="12.75" x14ac:dyDescent="0.2"/>
    <row r="1120" s="100" customFormat="1" ht="12.75" x14ac:dyDescent="0.2"/>
    <row r="1121" s="100" customFormat="1" ht="12.75" x14ac:dyDescent="0.2"/>
    <row r="1122" s="100" customFormat="1" ht="12.75" x14ac:dyDescent="0.2"/>
    <row r="1123" s="100" customFormat="1" ht="12.75" x14ac:dyDescent="0.2"/>
    <row r="1124" s="100" customFormat="1" ht="12.75" x14ac:dyDescent="0.2"/>
    <row r="1125" s="100" customFormat="1" ht="12.75" x14ac:dyDescent="0.2"/>
    <row r="1126" s="100" customFormat="1" ht="12.75" x14ac:dyDescent="0.2"/>
    <row r="1127" s="100" customFormat="1" ht="12.75" x14ac:dyDescent="0.2"/>
    <row r="1128" s="100" customFormat="1" ht="12.75" x14ac:dyDescent="0.2"/>
    <row r="1129" s="100" customFormat="1" ht="12.75" x14ac:dyDescent="0.2"/>
    <row r="1130" s="100" customFormat="1" ht="12.75" x14ac:dyDescent="0.2"/>
    <row r="1131" s="100" customFormat="1" ht="12.75" x14ac:dyDescent="0.2"/>
    <row r="1132" s="100" customFormat="1" ht="12.75" x14ac:dyDescent="0.2"/>
    <row r="1133" s="100" customFormat="1" ht="12.75" x14ac:dyDescent="0.2"/>
    <row r="1134" s="100" customFormat="1" ht="12.75" x14ac:dyDescent="0.2"/>
    <row r="1135" s="100" customFormat="1" ht="12.75" x14ac:dyDescent="0.2"/>
    <row r="1136" s="100" customFormat="1" ht="12.75" x14ac:dyDescent="0.2"/>
    <row r="1137" s="100" customFormat="1" ht="12.75" x14ac:dyDescent="0.2"/>
    <row r="1138" s="100" customFormat="1" ht="12.75" x14ac:dyDescent="0.2"/>
    <row r="1139" s="100" customFormat="1" ht="12.75" x14ac:dyDescent="0.2"/>
    <row r="1140" s="100" customFormat="1" ht="12.75" x14ac:dyDescent="0.2"/>
    <row r="1141" s="100" customFormat="1" ht="12.75" x14ac:dyDescent="0.2"/>
    <row r="1142" s="100" customFormat="1" ht="12.75" x14ac:dyDescent="0.2"/>
    <row r="1143" s="100" customFormat="1" ht="12.75" x14ac:dyDescent="0.2"/>
    <row r="1144" s="100" customFormat="1" ht="12.75" x14ac:dyDescent="0.2"/>
    <row r="1145" s="100" customFormat="1" ht="12.75" x14ac:dyDescent="0.2"/>
    <row r="1146" s="100" customFormat="1" ht="12.75" x14ac:dyDescent="0.2"/>
    <row r="1147" s="100" customFormat="1" ht="12.75" x14ac:dyDescent="0.2"/>
    <row r="1148" s="100" customFormat="1" ht="12.75" x14ac:dyDescent="0.2"/>
    <row r="1149" s="100" customFormat="1" ht="12.75" x14ac:dyDescent="0.2"/>
    <row r="1150" s="100" customFormat="1" ht="12.75" x14ac:dyDescent="0.2"/>
    <row r="1151" s="100" customFormat="1" ht="12.75" x14ac:dyDescent="0.2"/>
    <row r="1152" s="100" customFormat="1" ht="12.75" x14ac:dyDescent="0.2"/>
    <row r="1153" s="100" customFormat="1" ht="12.75" x14ac:dyDescent="0.2"/>
    <row r="1154" s="100" customFormat="1" ht="12.75" x14ac:dyDescent="0.2"/>
    <row r="1155" s="100" customFormat="1" ht="12.75" x14ac:dyDescent="0.2"/>
    <row r="1156" s="100" customFormat="1" ht="12.75" x14ac:dyDescent="0.2"/>
    <row r="1157" s="100" customFormat="1" ht="12.75" x14ac:dyDescent="0.2"/>
    <row r="1158" s="100" customFormat="1" ht="12.75" x14ac:dyDescent="0.2"/>
    <row r="1159" s="100" customFormat="1" ht="12.75" x14ac:dyDescent="0.2"/>
    <row r="1160" s="100" customFormat="1" ht="12.75" x14ac:dyDescent="0.2"/>
    <row r="1161" s="100" customFormat="1" ht="12.75" x14ac:dyDescent="0.2"/>
    <row r="1162" s="100" customFormat="1" ht="12.75" x14ac:dyDescent="0.2"/>
    <row r="1163" s="100" customFormat="1" ht="12.75" x14ac:dyDescent="0.2"/>
    <row r="1164" s="100" customFormat="1" ht="12.75" x14ac:dyDescent="0.2"/>
    <row r="1165" s="100" customFormat="1" ht="12.75" x14ac:dyDescent="0.2"/>
    <row r="1166" s="100" customFormat="1" ht="12.75" x14ac:dyDescent="0.2"/>
    <row r="1167" s="100" customFormat="1" ht="12.75" x14ac:dyDescent="0.2"/>
    <row r="1168" s="100" customFormat="1" ht="12.75" x14ac:dyDescent="0.2"/>
    <row r="1169" s="100" customFormat="1" ht="12.75" x14ac:dyDescent="0.2"/>
    <row r="1170" s="100" customFormat="1" ht="12.75" x14ac:dyDescent="0.2"/>
    <row r="1171" s="100" customFormat="1" ht="12.75" x14ac:dyDescent="0.2"/>
    <row r="1172" s="100" customFormat="1" ht="12.75" x14ac:dyDescent="0.2"/>
    <row r="1173" s="100" customFormat="1" ht="12.75" x14ac:dyDescent="0.2"/>
    <row r="1174" s="100" customFormat="1" ht="12.75" x14ac:dyDescent="0.2"/>
    <row r="1175" s="100" customFormat="1" ht="12.75" x14ac:dyDescent="0.2"/>
    <row r="1176" s="100" customFormat="1" ht="12.75" x14ac:dyDescent="0.2"/>
    <row r="1177" s="100" customFormat="1" ht="12.75" x14ac:dyDescent="0.2"/>
    <row r="1178" s="100" customFormat="1" ht="12.75" x14ac:dyDescent="0.2"/>
    <row r="1179" s="100" customFormat="1" ht="12.75" x14ac:dyDescent="0.2"/>
    <row r="1180" s="100" customFormat="1" ht="12.75" x14ac:dyDescent="0.2"/>
    <row r="1181" s="100" customFormat="1" ht="12.75" x14ac:dyDescent="0.2"/>
    <row r="1182" s="100" customFormat="1" ht="12.75" x14ac:dyDescent="0.2"/>
    <row r="1183" s="100" customFormat="1" ht="12.75" x14ac:dyDescent="0.2"/>
    <row r="1184" s="100" customFormat="1" ht="12.75" x14ac:dyDescent="0.2"/>
    <row r="1185" s="100" customFormat="1" ht="12.75" x14ac:dyDescent="0.2"/>
    <row r="1186" s="100" customFormat="1" ht="12.75" x14ac:dyDescent="0.2"/>
    <row r="1187" s="100" customFormat="1" ht="12.75" x14ac:dyDescent="0.2"/>
    <row r="1188" s="100" customFormat="1" ht="12.75" x14ac:dyDescent="0.2"/>
    <row r="1189" s="100" customFormat="1" ht="12.75" x14ac:dyDescent="0.2"/>
    <row r="1190" s="100" customFormat="1" ht="12.75" x14ac:dyDescent="0.2"/>
    <row r="1191" s="100" customFormat="1" ht="12.75" x14ac:dyDescent="0.2"/>
    <row r="1192" s="100" customFormat="1" ht="12.75" x14ac:dyDescent="0.2"/>
    <row r="1193" s="100" customFormat="1" ht="12.75" x14ac:dyDescent="0.2"/>
    <row r="1194" s="100" customFormat="1" ht="12.75" x14ac:dyDescent="0.2"/>
    <row r="1195" s="100" customFormat="1" ht="12.75" x14ac:dyDescent="0.2"/>
    <row r="1196" s="100" customFormat="1" ht="12.75" x14ac:dyDescent="0.2"/>
    <row r="1197" s="100" customFormat="1" ht="12.75" x14ac:dyDescent="0.2"/>
    <row r="1198" s="100" customFormat="1" ht="12.75" x14ac:dyDescent="0.2"/>
    <row r="1199" s="100" customFormat="1" ht="12.75" x14ac:dyDescent="0.2"/>
    <row r="1200" s="100" customFormat="1" ht="12.75" x14ac:dyDescent="0.2"/>
    <row r="1201" s="100" customFormat="1" ht="12.75" x14ac:dyDescent="0.2"/>
    <row r="1202" s="100" customFormat="1" ht="12.75" x14ac:dyDescent="0.2"/>
    <row r="1203" s="100" customFormat="1" ht="12.75" x14ac:dyDescent="0.2"/>
    <row r="1204" s="100" customFormat="1" ht="12.75" x14ac:dyDescent="0.2"/>
    <row r="1205" s="100" customFormat="1" ht="12.75" x14ac:dyDescent="0.2"/>
    <row r="1206" s="100" customFormat="1" ht="12.75" x14ac:dyDescent="0.2"/>
    <row r="1207" s="100" customFormat="1" ht="12.75" x14ac:dyDescent="0.2"/>
    <row r="1208" s="100" customFormat="1" ht="12.75" x14ac:dyDescent="0.2"/>
    <row r="1209" s="100" customFormat="1" ht="12.75" x14ac:dyDescent="0.2"/>
    <row r="1210" s="100" customFormat="1" ht="12.75" x14ac:dyDescent="0.2"/>
    <row r="1211" s="100" customFormat="1" ht="12.75" x14ac:dyDescent="0.2"/>
    <row r="1212" s="100" customFormat="1" ht="12.75" x14ac:dyDescent="0.2"/>
    <row r="1213" s="100" customFormat="1" ht="12.75" x14ac:dyDescent="0.2"/>
    <row r="1214" s="100" customFormat="1" ht="12.75" x14ac:dyDescent="0.2"/>
    <row r="1215" s="100" customFormat="1" ht="12.75" x14ac:dyDescent="0.2"/>
    <row r="1216" s="100" customFormat="1" ht="12.75" x14ac:dyDescent="0.2"/>
    <row r="1217" s="100" customFormat="1" ht="12.75" x14ac:dyDescent="0.2"/>
    <row r="1218" s="100" customFormat="1" ht="12.75" x14ac:dyDescent="0.2"/>
    <row r="1219" s="100" customFormat="1" ht="12.75" x14ac:dyDescent="0.2"/>
    <row r="1220" s="100" customFormat="1" ht="12.75" x14ac:dyDescent="0.2"/>
    <row r="1221" s="100" customFormat="1" ht="12.75" x14ac:dyDescent="0.2"/>
    <row r="1222" s="100" customFormat="1" ht="12.75" x14ac:dyDescent="0.2"/>
    <row r="1223" s="100" customFormat="1" ht="12.75" x14ac:dyDescent="0.2"/>
    <row r="1224" s="100" customFormat="1" ht="12.75" x14ac:dyDescent="0.2"/>
    <row r="1225" s="100" customFormat="1" ht="12.75" x14ac:dyDescent="0.2"/>
    <row r="1226" s="100" customFormat="1" ht="12.75" x14ac:dyDescent="0.2"/>
    <row r="1227" s="100" customFormat="1" ht="12.75" x14ac:dyDescent="0.2"/>
    <row r="1228" s="100" customFormat="1" ht="12.75" x14ac:dyDescent="0.2"/>
    <row r="1229" s="100" customFormat="1" ht="12.75" x14ac:dyDescent="0.2"/>
    <row r="1230" s="100" customFormat="1" ht="12.75" x14ac:dyDescent="0.2"/>
    <row r="1231" s="100" customFormat="1" ht="12.75" x14ac:dyDescent="0.2"/>
    <row r="1232" s="100" customFormat="1" ht="12.75" x14ac:dyDescent="0.2"/>
    <row r="1233" s="100" customFormat="1" ht="12.75" x14ac:dyDescent="0.2"/>
    <row r="1234" s="100" customFormat="1" ht="12.75" x14ac:dyDescent="0.2"/>
    <row r="1235" s="100" customFormat="1" ht="12.75" x14ac:dyDescent="0.2"/>
    <row r="1236" s="100" customFormat="1" ht="12.75" x14ac:dyDescent="0.2"/>
    <row r="1237" s="100" customFormat="1" ht="12.75" x14ac:dyDescent="0.2"/>
    <row r="1238" s="100" customFormat="1" ht="12.75" x14ac:dyDescent="0.2"/>
    <row r="1239" s="100" customFormat="1" ht="12.75" x14ac:dyDescent="0.2"/>
    <row r="1240" s="100" customFormat="1" ht="12.75" x14ac:dyDescent="0.2"/>
    <row r="1241" s="100" customFormat="1" ht="12.75" x14ac:dyDescent="0.2"/>
    <row r="1242" s="100" customFormat="1" ht="12.75" x14ac:dyDescent="0.2"/>
    <row r="1243" s="100" customFormat="1" ht="12.75" x14ac:dyDescent="0.2"/>
    <row r="1244" s="100" customFormat="1" ht="12.75" x14ac:dyDescent="0.2"/>
    <row r="1245" s="100" customFormat="1" ht="12.75" x14ac:dyDescent="0.2"/>
    <row r="1246" s="100" customFormat="1" ht="12.75" x14ac:dyDescent="0.2"/>
    <row r="1247" s="100" customFormat="1" ht="12.75" x14ac:dyDescent="0.2"/>
    <row r="1248" s="100" customFormat="1" ht="12.75" x14ac:dyDescent="0.2"/>
    <row r="1249" s="100" customFormat="1" ht="12.75" x14ac:dyDescent="0.2"/>
    <row r="1250" s="100" customFormat="1" ht="12.75" x14ac:dyDescent="0.2"/>
    <row r="1251" s="100" customFormat="1" ht="12.75" x14ac:dyDescent="0.2"/>
    <row r="1252" s="100" customFormat="1" ht="12.75" x14ac:dyDescent="0.2"/>
    <row r="1253" s="100" customFormat="1" ht="12.75" x14ac:dyDescent="0.2"/>
    <row r="1254" s="100" customFormat="1" ht="12.75" x14ac:dyDescent="0.2"/>
    <row r="1255" s="100" customFormat="1" ht="12.75" x14ac:dyDescent="0.2"/>
    <row r="1256" s="100" customFormat="1" ht="12.75" x14ac:dyDescent="0.2"/>
    <row r="1257" s="100" customFormat="1" ht="12.75" x14ac:dyDescent="0.2"/>
    <row r="1258" s="100" customFormat="1" ht="12.75" x14ac:dyDescent="0.2"/>
    <row r="1259" s="100" customFormat="1" ht="12.75" x14ac:dyDescent="0.2"/>
    <row r="1260" s="100" customFormat="1" ht="12.75" x14ac:dyDescent="0.2"/>
    <row r="1261" s="100" customFormat="1" ht="12.75" x14ac:dyDescent="0.2"/>
    <row r="1262" s="100" customFormat="1" ht="12.75" x14ac:dyDescent="0.2"/>
    <row r="1263" s="100" customFormat="1" ht="12.75" x14ac:dyDescent="0.2"/>
    <row r="1264" s="100" customFormat="1" ht="12.75" x14ac:dyDescent="0.2"/>
    <row r="1265" s="100" customFormat="1" ht="12.75" x14ac:dyDescent="0.2"/>
    <row r="1266" s="100" customFormat="1" ht="12.75" x14ac:dyDescent="0.2"/>
    <row r="1267" s="100" customFormat="1" ht="12.75" x14ac:dyDescent="0.2"/>
    <row r="1268" s="100" customFormat="1" ht="12.75" x14ac:dyDescent="0.2"/>
    <row r="1269" s="100" customFormat="1" ht="12.75" x14ac:dyDescent="0.2"/>
    <row r="1270" s="100" customFormat="1" ht="12.75" x14ac:dyDescent="0.2"/>
    <row r="1271" s="100" customFormat="1" ht="12.75" x14ac:dyDescent="0.2"/>
    <row r="1272" s="100" customFormat="1" ht="12.75" x14ac:dyDescent="0.2"/>
    <row r="1273" s="100" customFormat="1" ht="12.75" x14ac:dyDescent="0.2"/>
    <row r="1274" s="100" customFormat="1" ht="12.75" x14ac:dyDescent="0.2"/>
    <row r="1275" s="100" customFormat="1" ht="12.75" x14ac:dyDescent="0.2"/>
    <row r="1276" s="100" customFormat="1" ht="12.75" x14ac:dyDescent="0.2"/>
    <row r="1277" s="100" customFormat="1" ht="12.75" x14ac:dyDescent="0.2"/>
    <row r="1278" s="100" customFormat="1" ht="12.75" x14ac:dyDescent="0.2"/>
    <row r="1279" s="100" customFormat="1" ht="12.75" x14ac:dyDescent="0.2"/>
    <row r="1280" s="100" customFormat="1" ht="12.75" x14ac:dyDescent="0.2"/>
    <row r="1281" s="100" customFormat="1" ht="12.75" x14ac:dyDescent="0.2"/>
    <row r="1282" s="100" customFormat="1" ht="12.75" x14ac:dyDescent="0.2"/>
    <row r="1283" s="100" customFormat="1" ht="12.75" x14ac:dyDescent="0.2"/>
    <row r="1284" s="100" customFormat="1" ht="12.75" x14ac:dyDescent="0.2"/>
    <row r="1285" s="100" customFormat="1" ht="12.75" x14ac:dyDescent="0.2"/>
    <row r="1286" s="100" customFormat="1" ht="12.75" x14ac:dyDescent="0.2"/>
    <row r="1287" s="100" customFormat="1" ht="12.75" x14ac:dyDescent="0.2"/>
    <row r="1288" s="100" customFormat="1" ht="12.75" x14ac:dyDescent="0.2"/>
    <row r="1289" s="100" customFormat="1" ht="12.75" x14ac:dyDescent="0.2"/>
    <row r="1290" s="100" customFormat="1" ht="12.75" x14ac:dyDescent="0.2"/>
    <row r="1291" s="100" customFormat="1" ht="12.75" x14ac:dyDescent="0.2"/>
    <row r="1292" s="100" customFormat="1" ht="12.75" x14ac:dyDescent="0.2"/>
    <row r="1293" s="100" customFormat="1" ht="12.75" x14ac:dyDescent="0.2"/>
    <row r="1294" s="100" customFormat="1" ht="12.75" x14ac:dyDescent="0.2"/>
    <row r="1295" s="100" customFormat="1" ht="12.75" x14ac:dyDescent="0.2"/>
    <row r="1296" s="100" customFormat="1" ht="12.75" x14ac:dyDescent="0.2"/>
    <row r="1297" s="100" customFormat="1" ht="12.75" x14ac:dyDescent="0.2"/>
    <row r="1298" s="100" customFormat="1" ht="12.75" x14ac:dyDescent="0.2"/>
    <row r="1299" s="100" customFormat="1" ht="12.75" x14ac:dyDescent="0.2"/>
    <row r="1300" s="100" customFormat="1" ht="12.75" x14ac:dyDescent="0.2"/>
    <row r="1301" s="100" customFormat="1" ht="12.75" x14ac:dyDescent="0.2"/>
    <row r="1302" s="100" customFormat="1" ht="12.75" x14ac:dyDescent="0.2"/>
    <row r="1303" s="100" customFormat="1" ht="12.75" x14ac:dyDescent="0.2"/>
    <row r="1304" s="100" customFormat="1" ht="12.75" x14ac:dyDescent="0.2"/>
    <row r="1305" s="100" customFormat="1" ht="12.75" x14ac:dyDescent="0.2"/>
    <row r="1306" s="100" customFormat="1" ht="12.75" x14ac:dyDescent="0.2"/>
    <row r="1307" s="100" customFormat="1" ht="12.75" x14ac:dyDescent="0.2"/>
    <row r="1308" s="100" customFormat="1" ht="12.75" x14ac:dyDescent="0.2"/>
    <row r="1309" s="100" customFormat="1" ht="12.75" x14ac:dyDescent="0.2"/>
    <row r="1310" s="100" customFormat="1" ht="12.75" x14ac:dyDescent="0.2"/>
    <row r="1311" s="100" customFormat="1" ht="12.75" x14ac:dyDescent="0.2"/>
    <row r="1312" s="100" customFormat="1" ht="12.75" x14ac:dyDescent="0.2"/>
    <row r="1313" s="100" customFormat="1" ht="12.75" x14ac:dyDescent="0.2"/>
    <row r="1314" s="100" customFormat="1" ht="12.75" x14ac:dyDescent="0.2"/>
    <row r="1315" s="100" customFormat="1" ht="12.75" x14ac:dyDescent="0.2"/>
    <row r="1316" s="100" customFormat="1" ht="12.75" x14ac:dyDescent="0.2"/>
    <row r="1317" s="100" customFormat="1" ht="12.75" x14ac:dyDescent="0.2"/>
    <row r="1318" s="100" customFormat="1" ht="12.75" x14ac:dyDescent="0.2"/>
    <row r="1319" s="100" customFormat="1" ht="12.75" x14ac:dyDescent="0.2"/>
    <row r="1320" s="100" customFormat="1" ht="12.75" x14ac:dyDescent="0.2"/>
    <row r="1321" s="100" customFormat="1" ht="12.75" x14ac:dyDescent="0.2"/>
    <row r="1322" s="100" customFormat="1" ht="12.75" x14ac:dyDescent="0.2"/>
    <row r="1323" s="100" customFormat="1" ht="12.75" x14ac:dyDescent="0.2"/>
    <row r="1324" s="100" customFormat="1" ht="12.75" x14ac:dyDescent="0.2"/>
    <row r="1325" s="100" customFormat="1" ht="12.75" x14ac:dyDescent="0.2"/>
    <row r="1326" s="100" customFormat="1" ht="12.75" x14ac:dyDescent="0.2"/>
    <row r="1327" s="100" customFormat="1" ht="12.75" x14ac:dyDescent="0.2"/>
    <row r="1328" s="100" customFormat="1" ht="12.75" x14ac:dyDescent="0.2"/>
    <row r="1329" s="100" customFormat="1" ht="12.75" x14ac:dyDescent="0.2"/>
    <row r="1330" s="100" customFormat="1" ht="12.75" x14ac:dyDescent="0.2"/>
    <row r="1331" s="100" customFormat="1" ht="12.75" x14ac:dyDescent="0.2"/>
    <row r="1332" s="100" customFormat="1" ht="12.75" x14ac:dyDescent="0.2"/>
    <row r="1333" s="100" customFormat="1" ht="12.75" x14ac:dyDescent="0.2"/>
    <row r="1334" s="100" customFormat="1" ht="12.75" x14ac:dyDescent="0.2"/>
    <row r="1335" s="100" customFormat="1" ht="12.75" x14ac:dyDescent="0.2"/>
    <row r="1336" s="100" customFormat="1" ht="12.75" x14ac:dyDescent="0.2"/>
    <row r="1337" s="100" customFormat="1" ht="12.75" x14ac:dyDescent="0.2"/>
    <row r="1338" s="100" customFormat="1" ht="12.75" x14ac:dyDescent="0.2"/>
    <row r="1339" s="100" customFormat="1" ht="12.75" x14ac:dyDescent="0.2"/>
    <row r="1340" s="100" customFormat="1" ht="12.75" x14ac:dyDescent="0.2"/>
    <row r="1341" s="100" customFormat="1" ht="12.75" x14ac:dyDescent="0.2"/>
    <row r="1342" s="100" customFormat="1" ht="12.75" x14ac:dyDescent="0.2"/>
    <row r="1343" s="100" customFormat="1" ht="12.75" x14ac:dyDescent="0.2"/>
    <row r="1344" s="100" customFormat="1" ht="12.75" x14ac:dyDescent="0.2"/>
    <row r="1345" s="100" customFormat="1" ht="12.75" x14ac:dyDescent="0.2"/>
    <row r="1346" s="100" customFormat="1" ht="12.75" x14ac:dyDescent="0.2"/>
    <row r="1347" s="100" customFormat="1" ht="12.75" x14ac:dyDescent="0.2"/>
    <row r="1348" s="100" customFormat="1" ht="12.75" x14ac:dyDescent="0.2"/>
    <row r="1349" s="100" customFormat="1" ht="12.75" x14ac:dyDescent="0.2"/>
    <row r="1350" s="100" customFormat="1" ht="12.75" x14ac:dyDescent="0.2"/>
    <row r="1351" s="100" customFormat="1" ht="12.75" x14ac:dyDescent="0.2"/>
    <row r="1352" s="100" customFormat="1" ht="12.75" x14ac:dyDescent="0.2"/>
    <row r="1353" s="100" customFormat="1" ht="12.75" x14ac:dyDescent="0.2"/>
    <row r="1354" s="100" customFormat="1" ht="12.75" x14ac:dyDescent="0.2"/>
    <row r="1355" s="100" customFormat="1" ht="12.75" x14ac:dyDescent="0.2"/>
    <row r="1356" s="100" customFormat="1" ht="12.75" x14ac:dyDescent="0.2"/>
    <row r="1357" s="100" customFormat="1" ht="12.75" x14ac:dyDescent="0.2"/>
    <row r="1358" s="100" customFormat="1" ht="12.75" x14ac:dyDescent="0.2"/>
    <row r="1359" s="100" customFormat="1" ht="12.75" x14ac:dyDescent="0.2"/>
    <row r="1360" s="100" customFormat="1" ht="12.75" x14ac:dyDescent="0.2"/>
    <row r="1361" s="100" customFormat="1" ht="12.75" x14ac:dyDescent="0.2"/>
    <row r="1362" s="100" customFormat="1" ht="12.75" x14ac:dyDescent="0.2"/>
    <row r="1363" s="100" customFormat="1" ht="12.75" x14ac:dyDescent="0.2"/>
    <row r="1364" s="100" customFormat="1" ht="12.75" x14ac:dyDescent="0.2"/>
    <row r="1365" s="100" customFormat="1" ht="12.75" x14ac:dyDescent="0.2"/>
    <row r="1366" s="100" customFormat="1" ht="12.75" x14ac:dyDescent="0.2"/>
    <row r="1367" s="100" customFormat="1" ht="12.75" x14ac:dyDescent="0.2"/>
    <row r="1368" s="100" customFormat="1" ht="12.75" x14ac:dyDescent="0.2"/>
    <row r="1369" s="100" customFormat="1" ht="12.75" x14ac:dyDescent="0.2"/>
    <row r="1370" s="100" customFormat="1" ht="12.75" x14ac:dyDescent="0.2"/>
    <row r="1371" s="100" customFormat="1" ht="12.75" x14ac:dyDescent="0.2"/>
    <row r="1372" s="100" customFormat="1" ht="12.75" x14ac:dyDescent="0.2"/>
    <row r="1373" s="100" customFormat="1" ht="12.75" x14ac:dyDescent="0.2"/>
    <row r="1374" s="100" customFormat="1" ht="12.75" x14ac:dyDescent="0.2"/>
    <row r="1375" s="100" customFormat="1" ht="12.75" x14ac:dyDescent="0.2"/>
    <row r="1376" s="100" customFormat="1" ht="12.75" x14ac:dyDescent="0.2"/>
    <row r="1377" s="100" customFormat="1" ht="12.75" x14ac:dyDescent="0.2"/>
    <row r="1378" s="100" customFormat="1" ht="12.75" x14ac:dyDescent="0.2"/>
    <row r="1379" s="100" customFormat="1" ht="12.75" x14ac:dyDescent="0.2"/>
    <row r="1380" s="100" customFormat="1" ht="12.75" x14ac:dyDescent="0.2"/>
    <row r="1381" s="100" customFormat="1" ht="12.75" x14ac:dyDescent="0.2"/>
    <row r="1382" s="100" customFormat="1" ht="12.75" x14ac:dyDescent="0.2"/>
    <row r="1383" s="100" customFormat="1" ht="12.75" x14ac:dyDescent="0.2"/>
    <row r="1384" s="100" customFormat="1" ht="12.75" x14ac:dyDescent="0.2"/>
    <row r="1385" s="100" customFormat="1" ht="12.75" x14ac:dyDescent="0.2"/>
    <row r="1386" s="100" customFormat="1" ht="12.75" x14ac:dyDescent="0.2"/>
    <row r="1387" s="100" customFormat="1" ht="12.75" x14ac:dyDescent="0.2"/>
    <row r="1388" s="100" customFormat="1" ht="12.75" x14ac:dyDescent="0.2"/>
    <row r="1389" s="100" customFormat="1" ht="12.75" x14ac:dyDescent="0.2"/>
    <row r="1390" s="100" customFormat="1" ht="12.75" x14ac:dyDescent="0.2"/>
    <row r="1391" s="100" customFormat="1" ht="12.75" x14ac:dyDescent="0.2"/>
    <row r="1392" s="100" customFormat="1" ht="12.75" x14ac:dyDescent="0.2"/>
    <row r="1393" s="100" customFormat="1" ht="12.75" x14ac:dyDescent="0.2"/>
    <row r="1394" s="100" customFormat="1" ht="12.75" x14ac:dyDescent="0.2"/>
    <row r="1395" s="100" customFormat="1" ht="12.75" x14ac:dyDescent="0.2"/>
    <row r="1396" s="100" customFormat="1" ht="12.75" x14ac:dyDescent="0.2"/>
    <row r="1397" s="100" customFormat="1" ht="12.75" x14ac:dyDescent="0.2"/>
    <row r="1398" s="100" customFormat="1" ht="12.75" x14ac:dyDescent="0.2"/>
    <row r="1399" s="100" customFormat="1" ht="12.75" x14ac:dyDescent="0.2"/>
    <row r="1400" s="100" customFormat="1" ht="12.75" x14ac:dyDescent="0.2"/>
    <row r="1401" s="100" customFormat="1" ht="12.75" x14ac:dyDescent="0.2"/>
    <row r="1402" s="100" customFormat="1" ht="12.75" x14ac:dyDescent="0.2"/>
    <row r="1403" s="100" customFormat="1" ht="12.75" x14ac:dyDescent="0.2"/>
    <row r="1404" s="100" customFormat="1" ht="12.75" x14ac:dyDescent="0.2"/>
    <row r="1405" s="100" customFormat="1" ht="12.75" x14ac:dyDescent="0.2"/>
    <row r="1406" s="100" customFormat="1" ht="12.75" x14ac:dyDescent="0.2"/>
    <row r="1407" s="100" customFormat="1" ht="12.75" x14ac:dyDescent="0.2"/>
    <row r="1408" s="100" customFormat="1" ht="12.75" x14ac:dyDescent="0.2"/>
    <row r="1409" s="100" customFormat="1" ht="12.75" x14ac:dyDescent="0.2"/>
    <row r="1410" s="100" customFormat="1" ht="12.75" x14ac:dyDescent="0.2"/>
    <row r="1411" s="100" customFormat="1" ht="12.75" x14ac:dyDescent="0.2"/>
    <row r="1412" s="100" customFormat="1" ht="12.75" x14ac:dyDescent="0.2"/>
    <row r="1413" s="100" customFormat="1" ht="12.75" x14ac:dyDescent="0.2"/>
    <row r="1414" s="100" customFormat="1" ht="12.75" x14ac:dyDescent="0.2"/>
    <row r="1415" s="100" customFormat="1" ht="12.75" x14ac:dyDescent="0.2"/>
    <row r="1416" s="100" customFormat="1" ht="12.75" x14ac:dyDescent="0.2"/>
    <row r="1417" s="100" customFormat="1" ht="12.75" x14ac:dyDescent="0.2"/>
    <row r="1418" s="100" customFormat="1" ht="12.75" x14ac:dyDescent="0.2"/>
    <row r="1419" s="100" customFormat="1" ht="12.75" x14ac:dyDescent="0.2"/>
    <row r="1420" s="100" customFormat="1" ht="12.75" x14ac:dyDescent="0.2"/>
    <row r="1421" s="100" customFormat="1" ht="12.75" x14ac:dyDescent="0.2"/>
    <row r="1422" s="100" customFormat="1" ht="12.75" x14ac:dyDescent="0.2"/>
    <row r="1423" s="100" customFormat="1" ht="12.75" x14ac:dyDescent="0.2"/>
    <row r="1424" s="100" customFormat="1" ht="12.75" x14ac:dyDescent="0.2"/>
    <row r="1425" s="100" customFormat="1" ht="12.75" x14ac:dyDescent="0.2"/>
    <row r="1426" s="100" customFormat="1" ht="12.75" x14ac:dyDescent="0.2"/>
    <row r="1427" s="100" customFormat="1" ht="12.75" x14ac:dyDescent="0.2"/>
    <row r="1428" s="100" customFormat="1" ht="12.75" x14ac:dyDescent="0.2"/>
    <row r="1429" s="100" customFormat="1" ht="12.75" x14ac:dyDescent="0.2"/>
    <row r="1430" s="100" customFormat="1" ht="12.75" x14ac:dyDescent="0.2"/>
    <row r="1431" s="100" customFormat="1" ht="12.75" x14ac:dyDescent="0.2"/>
    <row r="1432" s="100" customFormat="1" ht="12.75" x14ac:dyDescent="0.2"/>
    <row r="1433" s="100" customFormat="1" ht="12.75" x14ac:dyDescent="0.2"/>
    <row r="1434" s="100" customFormat="1" ht="12.75" x14ac:dyDescent="0.2"/>
    <row r="1435" s="100" customFormat="1" ht="12.75" x14ac:dyDescent="0.2"/>
    <row r="1436" s="100" customFormat="1" ht="12.75" x14ac:dyDescent="0.2"/>
    <row r="1437" s="100" customFormat="1" ht="12.75" x14ac:dyDescent="0.2"/>
    <row r="1438" s="100" customFormat="1" ht="12.75" x14ac:dyDescent="0.2"/>
    <row r="1439" s="100" customFormat="1" ht="12.75" x14ac:dyDescent="0.2"/>
    <row r="1440" s="100" customFormat="1" ht="12.75" x14ac:dyDescent="0.2"/>
    <row r="1441" s="100" customFormat="1" ht="12.75" x14ac:dyDescent="0.2"/>
    <row r="1442" s="100" customFormat="1" ht="12.75" x14ac:dyDescent="0.2"/>
    <row r="1443" s="100" customFormat="1" ht="12.75" x14ac:dyDescent="0.2"/>
    <row r="1444" s="100" customFormat="1" ht="12.75" x14ac:dyDescent="0.2"/>
    <row r="1445" s="100" customFormat="1" ht="12.75" x14ac:dyDescent="0.2"/>
    <row r="1446" s="100" customFormat="1" ht="12.75" x14ac:dyDescent="0.2"/>
    <row r="1447" s="100" customFormat="1" ht="12.75" x14ac:dyDescent="0.2"/>
    <row r="1448" s="100" customFormat="1" ht="12.75" x14ac:dyDescent="0.2"/>
    <row r="1449" s="100" customFormat="1" ht="12.75" x14ac:dyDescent="0.2"/>
    <row r="1450" s="100" customFormat="1" ht="12.75" x14ac:dyDescent="0.2"/>
    <row r="1451" s="100" customFormat="1" ht="12.75" x14ac:dyDescent="0.2"/>
    <row r="1452" s="100" customFormat="1" ht="12.75" x14ac:dyDescent="0.2"/>
    <row r="1453" s="100" customFormat="1" ht="12.75" x14ac:dyDescent="0.2"/>
    <row r="1454" s="100" customFormat="1" ht="12.75" x14ac:dyDescent="0.2"/>
    <row r="1455" s="100" customFormat="1" ht="12.75" x14ac:dyDescent="0.2"/>
    <row r="1456" s="100" customFormat="1" ht="12.75" x14ac:dyDescent="0.2"/>
    <row r="1457" s="100" customFormat="1" ht="12.75" x14ac:dyDescent="0.2"/>
    <row r="1458" s="100" customFormat="1" ht="12.75" x14ac:dyDescent="0.2"/>
    <row r="1459" s="100" customFormat="1" ht="12.75" x14ac:dyDescent="0.2"/>
    <row r="1460" s="100" customFormat="1" ht="12.75" x14ac:dyDescent="0.2"/>
    <row r="1461" s="100" customFormat="1" ht="12.75" x14ac:dyDescent="0.2"/>
    <row r="1462" s="100" customFormat="1" ht="12.75" x14ac:dyDescent="0.2"/>
    <row r="1463" s="100" customFormat="1" ht="12.75" x14ac:dyDescent="0.2"/>
    <row r="1464" s="100" customFormat="1" ht="12.75" x14ac:dyDescent="0.2"/>
    <row r="1465" s="100" customFormat="1" ht="12.75" x14ac:dyDescent="0.2"/>
    <row r="1466" s="100" customFormat="1" ht="12.75" x14ac:dyDescent="0.2"/>
    <row r="1467" s="100" customFormat="1" ht="12.75" x14ac:dyDescent="0.2"/>
    <row r="1468" s="100" customFormat="1" ht="12.75" x14ac:dyDescent="0.2"/>
    <row r="1469" s="100" customFormat="1" ht="12.75" x14ac:dyDescent="0.2"/>
    <row r="1470" s="100" customFormat="1" ht="12.75" x14ac:dyDescent="0.2"/>
    <row r="1471" s="100" customFormat="1" ht="12.75" x14ac:dyDescent="0.2"/>
    <row r="1472" s="100" customFormat="1" ht="12.75" x14ac:dyDescent="0.2"/>
    <row r="1473" s="100" customFormat="1" ht="12.75" x14ac:dyDescent="0.2"/>
    <row r="1474" s="100" customFormat="1" ht="12.75" x14ac:dyDescent="0.2"/>
    <row r="1475" s="100" customFormat="1" ht="12.75" x14ac:dyDescent="0.2"/>
    <row r="1476" s="100" customFormat="1" ht="12.75" x14ac:dyDescent="0.2"/>
    <row r="1477" s="100" customFormat="1" ht="12.75" x14ac:dyDescent="0.2"/>
    <row r="1478" s="100" customFormat="1" ht="12.75" x14ac:dyDescent="0.2"/>
    <row r="1479" s="100" customFormat="1" ht="12.75" x14ac:dyDescent="0.2"/>
    <row r="1480" s="100" customFormat="1" ht="12.75" x14ac:dyDescent="0.2"/>
    <row r="1481" s="100" customFormat="1" ht="12.75" x14ac:dyDescent="0.2"/>
    <row r="1482" s="100" customFormat="1" ht="12.75" x14ac:dyDescent="0.2"/>
    <row r="1483" s="100" customFormat="1" ht="12.75" x14ac:dyDescent="0.2"/>
    <row r="1484" s="100" customFormat="1" ht="12.75" x14ac:dyDescent="0.2"/>
    <row r="1485" s="100" customFormat="1" ht="12.75" x14ac:dyDescent="0.2"/>
    <row r="1486" s="100" customFormat="1" ht="12.75" x14ac:dyDescent="0.2"/>
    <row r="1487" s="100" customFormat="1" ht="12.75" x14ac:dyDescent="0.2"/>
    <row r="1488" s="100" customFormat="1" ht="12.75" x14ac:dyDescent="0.2"/>
    <row r="1489" s="100" customFormat="1" ht="12.75" x14ac:dyDescent="0.2"/>
    <row r="1490" s="100" customFormat="1" ht="12.75" x14ac:dyDescent="0.2"/>
    <row r="1491" s="100" customFormat="1" ht="12.75" x14ac:dyDescent="0.2"/>
    <row r="1492" s="100" customFormat="1" ht="12.75" x14ac:dyDescent="0.2"/>
    <row r="1493" s="100" customFormat="1" ht="12.75" x14ac:dyDescent="0.2"/>
    <row r="1494" s="100" customFormat="1" ht="12.75" x14ac:dyDescent="0.2"/>
    <row r="1495" s="100" customFormat="1" ht="12.75" x14ac:dyDescent="0.2"/>
    <row r="1496" s="100" customFormat="1" ht="12.75" x14ac:dyDescent="0.2"/>
    <row r="1497" s="100" customFormat="1" ht="12.75" x14ac:dyDescent="0.2"/>
    <row r="1498" s="100" customFormat="1" ht="12.75" x14ac:dyDescent="0.2"/>
    <row r="1499" s="100" customFormat="1" ht="12.75" x14ac:dyDescent="0.2"/>
    <row r="1500" s="100" customFormat="1" ht="12.75" x14ac:dyDescent="0.2"/>
    <row r="1501" s="100" customFormat="1" ht="12.75" x14ac:dyDescent="0.2"/>
    <row r="1502" s="100" customFormat="1" ht="12.75" x14ac:dyDescent="0.2"/>
    <row r="1503" s="100" customFormat="1" ht="12.75" x14ac:dyDescent="0.2"/>
    <row r="1504" s="100" customFormat="1" ht="12.75" x14ac:dyDescent="0.2"/>
    <row r="1505" s="100" customFormat="1" ht="12.75" x14ac:dyDescent="0.2"/>
    <row r="1506" s="100" customFormat="1" ht="12.75" x14ac:dyDescent="0.2"/>
    <row r="1507" s="100" customFormat="1" ht="12.75" x14ac:dyDescent="0.2"/>
    <row r="1508" s="100" customFormat="1" ht="12.75" x14ac:dyDescent="0.2"/>
    <row r="1509" s="100" customFormat="1" ht="12.75" x14ac:dyDescent="0.2"/>
    <row r="1510" s="100" customFormat="1" ht="12.75" x14ac:dyDescent="0.2"/>
    <row r="1511" s="100" customFormat="1" ht="12.75" x14ac:dyDescent="0.2"/>
    <row r="1512" s="100" customFormat="1" ht="12.75" x14ac:dyDescent="0.2"/>
    <row r="1513" s="100" customFormat="1" ht="12.75" x14ac:dyDescent="0.2"/>
    <row r="1514" s="100" customFormat="1" ht="12.75" x14ac:dyDescent="0.2"/>
    <row r="1515" s="100" customFormat="1" ht="12.75" x14ac:dyDescent="0.2"/>
    <row r="1516" s="100" customFormat="1" ht="12.75" x14ac:dyDescent="0.2"/>
    <row r="1517" s="100" customFormat="1" ht="12.75" x14ac:dyDescent="0.2"/>
    <row r="1518" s="100" customFormat="1" ht="12.75" x14ac:dyDescent="0.2"/>
    <row r="1519" s="100" customFormat="1" ht="12.75" x14ac:dyDescent="0.2"/>
    <row r="1520" s="100" customFormat="1" ht="12.75" x14ac:dyDescent="0.2"/>
    <row r="1521" s="100" customFormat="1" ht="12.75" x14ac:dyDescent="0.2"/>
    <row r="1522" s="100" customFormat="1" ht="12.75" x14ac:dyDescent="0.2"/>
    <row r="1523" s="100" customFormat="1" ht="12.75" x14ac:dyDescent="0.2"/>
    <row r="1524" s="100" customFormat="1" ht="12.75" x14ac:dyDescent="0.2"/>
    <row r="1525" s="100" customFormat="1" ht="12.75" x14ac:dyDescent="0.2"/>
    <row r="1526" s="100" customFormat="1" ht="12.75" x14ac:dyDescent="0.2"/>
    <row r="1527" s="100" customFormat="1" ht="12.75" x14ac:dyDescent="0.2"/>
    <row r="1528" s="100" customFormat="1" ht="12.75" x14ac:dyDescent="0.2"/>
    <row r="1529" s="100" customFormat="1" ht="12.75" x14ac:dyDescent="0.2"/>
    <row r="1530" s="100" customFormat="1" ht="12.75" x14ac:dyDescent="0.2"/>
    <row r="1531" s="100" customFormat="1" ht="12.75" x14ac:dyDescent="0.2"/>
    <row r="1532" s="100" customFormat="1" ht="12.75" x14ac:dyDescent="0.2"/>
    <row r="1533" s="100" customFormat="1" ht="12.75" x14ac:dyDescent="0.2"/>
    <row r="1534" s="100" customFormat="1" ht="12.75" x14ac:dyDescent="0.2"/>
    <row r="1535" s="100" customFormat="1" ht="12.75" x14ac:dyDescent="0.2"/>
    <row r="1536" s="100" customFormat="1" ht="12.75" x14ac:dyDescent="0.2"/>
    <row r="1537" s="100" customFormat="1" ht="12.75" x14ac:dyDescent="0.2"/>
    <row r="1538" s="100" customFormat="1" ht="12.75" x14ac:dyDescent="0.2"/>
    <row r="1539" s="100" customFormat="1" ht="12.75" x14ac:dyDescent="0.2"/>
    <row r="1540" s="100" customFormat="1" ht="12.75" x14ac:dyDescent="0.2"/>
    <row r="1541" s="100" customFormat="1" ht="12.75" x14ac:dyDescent="0.2"/>
    <row r="1542" s="100" customFormat="1" ht="12.75" x14ac:dyDescent="0.2"/>
    <row r="1543" s="100" customFormat="1" ht="12.75" x14ac:dyDescent="0.2"/>
    <row r="1544" s="100" customFormat="1" ht="12.75" x14ac:dyDescent="0.2"/>
    <row r="1545" s="100" customFormat="1" ht="12.75" x14ac:dyDescent="0.2"/>
    <row r="1546" s="100" customFormat="1" ht="12.75" x14ac:dyDescent="0.2"/>
    <row r="1547" s="100" customFormat="1" ht="12.75" x14ac:dyDescent="0.2"/>
    <row r="1548" s="100" customFormat="1" ht="12.75" x14ac:dyDescent="0.2"/>
    <row r="1549" s="100" customFormat="1" ht="12.75" x14ac:dyDescent="0.2"/>
    <row r="1550" s="100" customFormat="1" ht="12.75" x14ac:dyDescent="0.2"/>
    <row r="1551" s="100" customFormat="1" ht="12.75" x14ac:dyDescent="0.2"/>
    <row r="1552" s="100" customFormat="1" ht="12.75" x14ac:dyDescent="0.2"/>
    <row r="1553" s="100" customFormat="1" ht="12.75" x14ac:dyDescent="0.2"/>
    <row r="1554" s="100" customFormat="1" ht="12.75" x14ac:dyDescent="0.2"/>
    <row r="1555" s="100" customFormat="1" ht="12.75" x14ac:dyDescent="0.2"/>
    <row r="1556" s="100" customFormat="1" ht="12.75" x14ac:dyDescent="0.2"/>
    <row r="1557" s="100" customFormat="1" ht="12.75" x14ac:dyDescent="0.2"/>
    <row r="1558" s="100" customFormat="1" ht="12.75" x14ac:dyDescent="0.2"/>
    <row r="1559" s="100" customFormat="1" ht="12.75" x14ac:dyDescent="0.2"/>
    <row r="1560" s="100" customFormat="1" ht="12.75" x14ac:dyDescent="0.2"/>
    <row r="1561" s="100" customFormat="1" ht="12.75" x14ac:dyDescent="0.2"/>
    <row r="1562" s="100" customFormat="1" ht="12.75" x14ac:dyDescent="0.2"/>
    <row r="1563" s="100" customFormat="1" ht="12.75" x14ac:dyDescent="0.2"/>
    <row r="1564" s="100" customFormat="1" ht="12.75" x14ac:dyDescent="0.2"/>
    <row r="1565" s="100" customFormat="1" ht="12.75" x14ac:dyDescent="0.2"/>
    <row r="1566" s="100" customFormat="1" ht="12.75" x14ac:dyDescent="0.2"/>
    <row r="1567" s="100" customFormat="1" ht="12.75" x14ac:dyDescent="0.2"/>
    <row r="1568" s="100" customFormat="1" ht="12.75" x14ac:dyDescent="0.2"/>
    <row r="1569" s="100" customFormat="1" ht="12.75" x14ac:dyDescent="0.2"/>
    <row r="1570" s="100" customFormat="1" ht="12.75" x14ac:dyDescent="0.2"/>
    <row r="1571" s="100" customFormat="1" ht="12.75" x14ac:dyDescent="0.2"/>
    <row r="1572" s="100" customFormat="1" ht="12.75" x14ac:dyDescent="0.2"/>
    <row r="1573" s="100" customFormat="1" ht="12.75" x14ac:dyDescent="0.2"/>
    <row r="1574" s="100" customFormat="1" ht="12.75" x14ac:dyDescent="0.2"/>
    <row r="1575" s="100" customFormat="1" ht="12.75" x14ac:dyDescent="0.2"/>
    <row r="1576" s="100" customFormat="1" ht="12.75" x14ac:dyDescent="0.2"/>
    <row r="1577" s="100" customFormat="1" ht="12.75" x14ac:dyDescent="0.2"/>
    <row r="1578" s="100" customFormat="1" ht="12.75" x14ac:dyDescent="0.2"/>
    <row r="1579" s="100" customFormat="1" ht="12.75" x14ac:dyDescent="0.2"/>
    <row r="1580" s="100" customFormat="1" ht="12.75" x14ac:dyDescent="0.2"/>
    <row r="1581" s="100" customFormat="1" ht="12.75" x14ac:dyDescent="0.2"/>
    <row r="1582" s="100" customFormat="1" ht="12.75" x14ac:dyDescent="0.2"/>
    <row r="1583" s="100" customFormat="1" ht="12.75" x14ac:dyDescent="0.2"/>
    <row r="1584" s="100" customFormat="1" ht="12.75" x14ac:dyDescent="0.2"/>
    <row r="1585" s="100" customFormat="1" ht="12.75" x14ac:dyDescent="0.2"/>
    <row r="1586" s="100" customFormat="1" ht="12.75" x14ac:dyDescent="0.2"/>
    <row r="1587" s="100" customFormat="1" ht="12.75" x14ac:dyDescent="0.2"/>
    <row r="1588" s="100" customFormat="1" ht="12.75" x14ac:dyDescent="0.2"/>
    <row r="1589" s="100" customFormat="1" ht="12.75" x14ac:dyDescent="0.2"/>
    <row r="1590" s="100" customFormat="1" ht="12.75" x14ac:dyDescent="0.2"/>
    <row r="1591" s="100" customFormat="1" ht="12.75" x14ac:dyDescent="0.2"/>
    <row r="1592" s="100" customFormat="1" ht="12.75" x14ac:dyDescent="0.2"/>
    <row r="1593" s="100" customFormat="1" ht="12.75" x14ac:dyDescent="0.2"/>
    <row r="1594" s="100" customFormat="1" ht="12.75" x14ac:dyDescent="0.2"/>
    <row r="1595" s="100" customFormat="1" ht="12.75" x14ac:dyDescent="0.2"/>
    <row r="1596" s="100" customFormat="1" ht="12.75" x14ac:dyDescent="0.2"/>
    <row r="1597" s="100" customFormat="1" ht="12.75" x14ac:dyDescent="0.2"/>
    <row r="1598" s="100" customFormat="1" ht="12.75" x14ac:dyDescent="0.2"/>
    <row r="1599" s="100" customFormat="1" ht="12.75" x14ac:dyDescent="0.2"/>
    <row r="1600" s="100" customFormat="1" ht="12.75" x14ac:dyDescent="0.2"/>
    <row r="1601" s="100" customFormat="1" ht="12.75" x14ac:dyDescent="0.2"/>
    <row r="1602" s="100" customFormat="1" ht="12.75" x14ac:dyDescent="0.2"/>
    <row r="1603" s="100" customFormat="1" ht="12.75" x14ac:dyDescent="0.2"/>
    <row r="1604" s="100" customFormat="1" ht="12.75" x14ac:dyDescent="0.2"/>
    <row r="1605" s="100" customFormat="1" ht="12.75" x14ac:dyDescent="0.2"/>
    <row r="1606" s="100" customFormat="1" ht="12.75" x14ac:dyDescent="0.2"/>
    <row r="1607" s="100" customFormat="1" ht="12.75" x14ac:dyDescent="0.2"/>
    <row r="1608" s="100" customFormat="1" ht="12.75" x14ac:dyDescent="0.2"/>
    <row r="1609" s="100" customFormat="1" ht="12.75" x14ac:dyDescent="0.2"/>
    <row r="1610" s="100" customFormat="1" ht="12.75" x14ac:dyDescent="0.2"/>
    <row r="1611" s="100" customFormat="1" ht="12.75" x14ac:dyDescent="0.2"/>
    <row r="1612" s="100" customFormat="1" ht="12.75" x14ac:dyDescent="0.2"/>
    <row r="1613" s="100" customFormat="1" ht="12.75" x14ac:dyDescent="0.2"/>
    <row r="1614" s="100" customFormat="1" ht="12.75" x14ac:dyDescent="0.2"/>
    <row r="1615" s="100" customFormat="1" ht="12.75" x14ac:dyDescent="0.2"/>
    <row r="1616" s="100" customFormat="1" ht="12.75" x14ac:dyDescent="0.2"/>
    <row r="1617" s="100" customFormat="1" ht="12.75" x14ac:dyDescent="0.2"/>
    <row r="1618" s="100" customFormat="1" ht="12.75" x14ac:dyDescent="0.2"/>
    <row r="1619" s="100" customFormat="1" ht="12.75" x14ac:dyDescent="0.2"/>
    <row r="1620" s="100" customFormat="1" ht="12.75" x14ac:dyDescent="0.2"/>
    <row r="1621" s="100" customFormat="1" ht="12.75" x14ac:dyDescent="0.2"/>
    <row r="1622" s="100" customFormat="1" ht="12.75" x14ac:dyDescent="0.2"/>
    <row r="1623" s="100" customFormat="1" ht="12.75" x14ac:dyDescent="0.2"/>
    <row r="1624" s="100" customFormat="1" ht="12.75" x14ac:dyDescent="0.2"/>
    <row r="1625" s="100" customFormat="1" ht="12.75" x14ac:dyDescent="0.2"/>
    <row r="1626" s="100" customFormat="1" ht="12.75" x14ac:dyDescent="0.2"/>
    <row r="1627" s="100" customFormat="1" ht="12.75" x14ac:dyDescent="0.2"/>
    <row r="1628" s="100" customFormat="1" ht="12.75" x14ac:dyDescent="0.2"/>
    <row r="1629" s="100" customFormat="1" ht="12.75" x14ac:dyDescent="0.2"/>
    <row r="1630" s="100" customFormat="1" ht="12.75" x14ac:dyDescent="0.2"/>
    <row r="1631" s="100" customFormat="1" ht="12.75" x14ac:dyDescent="0.2"/>
    <row r="1632" s="100" customFormat="1" ht="12.75" x14ac:dyDescent="0.2"/>
    <row r="1633" s="100" customFormat="1" ht="12.75" x14ac:dyDescent="0.2"/>
    <row r="1634" s="100" customFormat="1" ht="12.75" x14ac:dyDescent="0.2"/>
    <row r="1635" s="100" customFormat="1" ht="12.75" x14ac:dyDescent="0.2"/>
    <row r="1636" s="100" customFormat="1" ht="12.75" x14ac:dyDescent="0.2"/>
    <row r="1637" s="100" customFormat="1" ht="12.75" x14ac:dyDescent="0.2"/>
    <row r="1638" s="100" customFormat="1" ht="12.75" x14ac:dyDescent="0.2"/>
    <row r="1639" s="100" customFormat="1" ht="12.75" x14ac:dyDescent="0.2"/>
    <row r="1640" s="100" customFormat="1" ht="12.75" x14ac:dyDescent="0.2"/>
    <row r="1641" s="100" customFormat="1" ht="12.75" x14ac:dyDescent="0.2"/>
    <row r="1642" s="100" customFormat="1" ht="12.75" x14ac:dyDescent="0.2"/>
    <row r="1643" s="100" customFormat="1" ht="12.75" x14ac:dyDescent="0.2"/>
    <row r="1644" s="100" customFormat="1" ht="12.75" x14ac:dyDescent="0.2"/>
    <row r="1645" s="100" customFormat="1" ht="12.75" x14ac:dyDescent="0.2"/>
    <row r="1646" s="100" customFormat="1" ht="12.75" x14ac:dyDescent="0.2"/>
    <row r="1647" s="100" customFormat="1" ht="12.75" x14ac:dyDescent="0.2"/>
    <row r="1648" s="100" customFormat="1" ht="12.75" x14ac:dyDescent="0.2"/>
    <row r="1649" s="100" customFormat="1" ht="12.75" x14ac:dyDescent="0.2"/>
    <row r="1650" s="100" customFormat="1" ht="12.75" x14ac:dyDescent="0.2"/>
    <row r="1651" s="100" customFormat="1" ht="12.75" x14ac:dyDescent="0.2"/>
    <row r="1652" s="100" customFormat="1" ht="12.75" x14ac:dyDescent="0.2"/>
    <row r="1653" s="100" customFormat="1" ht="12.75" x14ac:dyDescent="0.2"/>
    <row r="1654" s="100" customFormat="1" ht="12.75" x14ac:dyDescent="0.2"/>
    <row r="1655" s="100" customFormat="1" ht="12.75" x14ac:dyDescent="0.2"/>
    <row r="1656" s="100" customFormat="1" ht="12.75" x14ac:dyDescent="0.2"/>
    <row r="1657" s="100" customFormat="1" ht="12.75" x14ac:dyDescent="0.2"/>
    <row r="1658" s="100" customFormat="1" ht="12.75" x14ac:dyDescent="0.2"/>
    <row r="1659" s="100" customFormat="1" ht="12.75" x14ac:dyDescent="0.2"/>
    <row r="1660" s="100" customFormat="1" ht="12.75" x14ac:dyDescent="0.2"/>
    <row r="1661" s="100" customFormat="1" ht="12.75" x14ac:dyDescent="0.2"/>
    <row r="1662" s="100" customFormat="1" ht="12.75" x14ac:dyDescent="0.2"/>
    <row r="1663" s="100" customFormat="1" ht="12.75" x14ac:dyDescent="0.2"/>
    <row r="1664" s="100" customFormat="1" ht="12.75" x14ac:dyDescent="0.2"/>
    <row r="1665" s="100" customFormat="1" ht="12.75" x14ac:dyDescent="0.2"/>
    <row r="1666" s="100" customFormat="1" ht="12.75" x14ac:dyDescent="0.2"/>
    <row r="1667" s="100" customFormat="1" ht="12.75" x14ac:dyDescent="0.2"/>
    <row r="1668" s="100" customFormat="1" ht="12.75" x14ac:dyDescent="0.2"/>
    <row r="1669" s="100" customFormat="1" ht="12.75" x14ac:dyDescent="0.2"/>
    <row r="1670" s="100" customFormat="1" ht="12.75" x14ac:dyDescent="0.2"/>
    <row r="1671" s="100" customFormat="1" ht="12.75" x14ac:dyDescent="0.2"/>
    <row r="1672" s="100" customFormat="1" ht="12.75" x14ac:dyDescent="0.2"/>
    <row r="1673" s="100" customFormat="1" ht="12.75" x14ac:dyDescent="0.2"/>
    <row r="1674" s="100" customFormat="1" ht="12.75" x14ac:dyDescent="0.2"/>
    <row r="1675" s="100" customFormat="1" ht="12.75" x14ac:dyDescent="0.2"/>
    <row r="1676" s="100" customFormat="1" ht="12.75" x14ac:dyDescent="0.2"/>
    <row r="1677" s="100" customFormat="1" ht="12.75" x14ac:dyDescent="0.2"/>
    <row r="1678" s="100" customFormat="1" ht="12.75" x14ac:dyDescent="0.2"/>
    <row r="1679" s="100" customFormat="1" ht="12.75" x14ac:dyDescent="0.2"/>
    <row r="1680" s="100" customFormat="1" ht="12.75" x14ac:dyDescent="0.2"/>
    <row r="1681" s="100" customFormat="1" ht="12.75" x14ac:dyDescent="0.2"/>
    <row r="1682" s="100" customFormat="1" ht="12.75" x14ac:dyDescent="0.2"/>
    <row r="1683" s="100" customFormat="1" ht="12.75" x14ac:dyDescent="0.2"/>
    <row r="1684" s="100" customFormat="1" ht="12.75" x14ac:dyDescent="0.2"/>
    <row r="1685" s="100" customFormat="1" ht="12.75" x14ac:dyDescent="0.2"/>
    <row r="1686" s="100" customFormat="1" ht="12.75" x14ac:dyDescent="0.2"/>
    <row r="1687" s="100" customFormat="1" ht="12.75" x14ac:dyDescent="0.2"/>
    <row r="1688" s="100" customFormat="1" ht="12.75" x14ac:dyDescent="0.2"/>
    <row r="1689" s="100" customFormat="1" ht="12.75" x14ac:dyDescent="0.2"/>
    <row r="1690" s="100" customFormat="1" ht="12.75" x14ac:dyDescent="0.2"/>
    <row r="1691" s="100" customFormat="1" ht="12.75" x14ac:dyDescent="0.2"/>
    <row r="1692" s="100" customFormat="1" ht="12.75" x14ac:dyDescent="0.2"/>
    <row r="1693" s="100" customFormat="1" ht="12.75" x14ac:dyDescent="0.2"/>
    <row r="1694" s="100" customFormat="1" ht="12.75" x14ac:dyDescent="0.2"/>
    <row r="1695" s="100" customFormat="1" ht="12.75" x14ac:dyDescent="0.2"/>
    <row r="1696" s="100" customFormat="1" ht="12.75" x14ac:dyDescent="0.2"/>
    <row r="1697" s="100" customFormat="1" ht="12.75" x14ac:dyDescent="0.2"/>
    <row r="1698" s="100" customFormat="1" ht="12.75" x14ac:dyDescent="0.2"/>
    <row r="1699" s="100" customFormat="1" ht="12.75" x14ac:dyDescent="0.2"/>
    <row r="1700" s="100" customFormat="1" ht="12.75" x14ac:dyDescent="0.2"/>
    <row r="1701" s="100" customFormat="1" ht="12.75" x14ac:dyDescent="0.2"/>
    <row r="1702" s="100" customFormat="1" ht="12.75" x14ac:dyDescent="0.2"/>
    <row r="1703" s="100" customFormat="1" ht="12.75" x14ac:dyDescent="0.2"/>
    <row r="1704" s="100" customFormat="1" ht="12.75" x14ac:dyDescent="0.2"/>
    <row r="1705" s="100" customFormat="1" ht="12.75" x14ac:dyDescent="0.2"/>
    <row r="1706" s="100" customFormat="1" ht="12.75" x14ac:dyDescent="0.2"/>
    <row r="1707" s="100" customFormat="1" ht="12.75" x14ac:dyDescent="0.2"/>
    <row r="1708" s="100" customFormat="1" ht="12.75" x14ac:dyDescent="0.2"/>
    <row r="1709" s="100" customFormat="1" ht="12.75" x14ac:dyDescent="0.2"/>
    <row r="1710" s="100" customFormat="1" ht="12.75" x14ac:dyDescent="0.2"/>
    <row r="1711" s="100" customFormat="1" ht="12.75" x14ac:dyDescent="0.2"/>
    <row r="1712" s="100" customFormat="1" ht="12.75" x14ac:dyDescent="0.2"/>
    <row r="1713" s="100" customFormat="1" ht="12.75" x14ac:dyDescent="0.2"/>
    <row r="1714" s="100" customFormat="1" ht="12.75" x14ac:dyDescent="0.2"/>
    <row r="1715" s="100" customFormat="1" ht="12.75" x14ac:dyDescent="0.2"/>
    <row r="1716" s="100" customFormat="1" ht="12.75" x14ac:dyDescent="0.2"/>
    <row r="1717" s="100" customFormat="1" ht="12.75" x14ac:dyDescent="0.2"/>
    <row r="1718" s="100" customFormat="1" ht="12.75" x14ac:dyDescent="0.2"/>
    <row r="1719" s="100" customFormat="1" ht="12.75" x14ac:dyDescent="0.2"/>
    <row r="1720" s="100" customFormat="1" ht="12.75" x14ac:dyDescent="0.2"/>
    <row r="1721" s="100" customFormat="1" ht="12.75" x14ac:dyDescent="0.2"/>
    <row r="1722" s="100" customFormat="1" ht="12.75" x14ac:dyDescent="0.2"/>
    <row r="1723" s="100" customFormat="1" ht="12.75" x14ac:dyDescent="0.2"/>
    <row r="1724" s="100" customFormat="1" ht="12.75" x14ac:dyDescent="0.2"/>
    <row r="1725" s="100" customFormat="1" ht="12.75" x14ac:dyDescent="0.2"/>
    <row r="1726" s="100" customFormat="1" ht="12.75" x14ac:dyDescent="0.2"/>
    <row r="1727" s="100" customFormat="1" ht="12.75" x14ac:dyDescent="0.2"/>
    <row r="1728" s="100" customFormat="1" ht="12.75" x14ac:dyDescent="0.2"/>
    <row r="1729" s="100" customFormat="1" ht="12.75" x14ac:dyDescent="0.2"/>
    <row r="1730" s="100" customFormat="1" ht="12.75" x14ac:dyDescent="0.2"/>
    <row r="1731" s="100" customFormat="1" ht="12.75" x14ac:dyDescent="0.2"/>
    <row r="1732" s="100" customFormat="1" ht="12.75" x14ac:dyDescent="0.2"/>
    <row r="1733" s="100" customFormat="1" ht="12.75" x14ac:dyDescent="0.2"/>
    <row r="1734" s="100" customFormat="1" ht="12.75" x14ac:dyDescent="0.2"/>
    <row r="1735" s="100" customFormat="1" ht="12.75" x14ac:dyDescent="0.2"/>
    <row r="1736" s="100" customFormat="1" ht="12.75" x14ac:dyDescent="0.2"/>
    <row r="1737" s="100" customFormat="1" ht="12.75" x14ac:dyDescent="0.2"/>
    <row r="1738" s="100" customFormat="1" ht="12.75" x14ac:dyDescent="0.2"/>
    <row r="1739" s="100" customFormat="1" ht="12.75" x14ac:dyDescent="0.2"/>
    <row r="1740" s="100" customFormat="1" ht="12.75" x14ac:dyDescent="0.2"/>
    <row r="1741" s="100" customFormat="1" ht="12.75" x14ac:dyDescent="0.2"/>
    <row r="1742" s="100" customFormat="1" ht="12.75" x14ac:dyDescent="0.2"/>
    <row r="1743" s="100" customFormat="1" ht="12.75" x14ac:dyDescent="0.2"/>
    <row r="1744" s="100" customFormat="1" ht="12.75" x14ac:dyDescent="0.2"/>
    <row r="1745" s="100" customFormat="1" ht="12.75" x14ac:dyDescent="0.2"/>
    <row r="1746" s="100" customFormat="1" ht="12.75" x14ac:dyDescent="0.2"/>
    <row r="1747" s="100" customFormat="1" ht="12.75" x14ac:dyDescent="0.2"/>
    <row r="1748" s="100" customFormat="1" ht="12.75" x14ac:dyDescent="0.2"/>
    <row r="1749" s="100" customFormat="1" ht="12.75" x14ac:dyDescent="0.2"/>
    <row r="1750" s="100" customFormat="1" ht="12.75" x14ac:dyDescent="0.2"/>
    <row r="1751" s="100" customFormat="1" ht="12.75" x14ac:dyDescent="0.2"/>
    <row r="1752" s="100" customFormat="1" ht="12.75" x14ac:dyDescent="0.2"/>
    <row r="1753" s="100" customFormat="1" ht="12.75" x14ac:dyDescent="0.2"/>
    <row r="1754" s="100" customFormat="1" ht="12.75" x14ac:dyDescent="0.2"/>
    <row r="1755" s="100" customFormat="1" ht="12.75" x14ac:dyDescent="0.2"/>
    <row r="1756" s="100" customFormat="1" ht="12.75" x14ac:dyDescent="0.2"/>
    <row r="1757" s="100" customFormat="1" ht="12.75" x14ac:dyDescent="0.2"/>
    <row r="1758" s="100" customFormat="1" ht="12.75" x14ac:dyDescent="0.2"/>
    <row r="1759" s="100" customFormat="1" ht="12.75" x14ac:dyDescent="0.2"/>
    <row r="1760" s="100" customFormat="1" ht="12.75" x14ac:dyDescent="0.2"/>
    <row r="1761" s="100" customFormat="1" ht="12.75" x14ac:dyDescent="0.2"/>
    <row r="1762" s="100" customFormat="1" ht="12.75" x14ac:dyDescent="0.2"/>
    <row r="1763" s="100" customFormat="1" ht="12.75" x14ac:dyDescent="0.2"/>
    <row r="1764" s="100" customFormat="1" ht="12.75" x14ac:dyDescent="0.2"/>
    <row r="1765" s="100" customFormat="1" ht="12.75" x14ac:dyDescent="0.2"/>
    <row r="1766" s="100" customFormat="1" ht="12.75" x14ac:dyDescent="0.2"/>
    <row r="1767" s="100" customFormat="1" ht="12.75" x14ac:dyDescent="0.2"/>
    <row r="1768" s="100" customFormat="1" ht="12.75" x14ac:dyDescent="0.2"/>
    <row r="1769" s="100" customFormat="1" ht="12.75" x14ac:dyDescent="0.2"/>
    <row r="1770" s="100" customFormat="1" ht="12.75" x14ac:dyDescent="0.2"/>
    <row r="1771" s="100" customFormat="1" ht="12.75" x14ac:dyDescent="0.2"/>
    <row r="1772" s="100" customFormat="1" ht="12.75" x14ac:dyDescent="0.2"/>
    <row r="1773" s="100" customFormat="1" ht="12.75" x14ac:dyDescent="0.2"/>
    <row r="1774" s="100" customFormat="1" ht="12.75" x14ac:dyDescent="0.2"/>
    <row r="1775" s="100" customFormat="1" ht="12.75" x14ac:dyDescent="0.2"/>
    <row r="1776" s="100" customFormat="1" ht="12.75" x14ac:dyDescent="0.2"/>
    <row r="1777" s="100" customFormat="1" ht="12.75" x14ac:dyDescent="0.2"/>
    <row r="1778" s="100" customFormat="1" ht="12.75" x14ac:dyDescent="0.2"/>
    <row r="1779" s="100" customFormat="1" ht="12.75" x14ac:dyDescent="0.2"/>
    <row r="1780" s="100" customFormat="1" ht="12.75" x14ac:dyDescent="0.2"/>
    <row r="1781" s="100" customFormat="1" ht="12.75" x14ac:dyDescent="0.2"/>
    <row r="1782" s="100" customFormat="1" ht="12.75" x14ac:dyDescent="0.2"/>
    <row r="1783" s="100" customFormat="1" ht="12.75" x14ac:dyDescent="0.2"/>
    <row r="1784" s="100" customFormat="1" ht="12.75" x14ac:dyDescent="0.2"/>
    <row r="1785" s="100" customFormat="1" ht="12.75" x14ac:dyDescent="0.2"/>
    <row r="1786" s="100" customFormat="1" ht="12.75" x14ac:dyDescent="0.2"/>
    <row r="1787" s="100" customFormat="1" ht="12.75" x14ac:dyDescent="0.2"/>
    <row r="1788" s="100" customFormat="1" ht="12.75" x14ac:dyDescent="0.2"/>
    <row r="1789" s="100" customFormat="1" ht="12.75" x14ac:dyDescent="0.2"/>
    <row r="1790" s="100" customFormat="1" ht="12.75" x14ac:dyDescent="0.2"/>
    <row r="1791" s="100" customFormat="1" ht="12.75" x14ac:dyDescent="0.2"/>
    <row r="1792" s="100" customFormat="1" ht="12.75" x14ac:dyDescent="0.2"/>
    <row r="1793" s="100" customFormat="1" ht="12.75" x14ac:dyDescent="0.2"/>
    <row r="1794" s="100" customFormat="1" ht="12.75" x14ac:dyDescent="0.2"/>
    <row r="1795" s="100" customFormat="1" ht="12.75" x14ac:dyDescent="0.2"/>
    <row r="1796" s="100" customFormat="1" ht="12.75" x14ac:dyDescent="0.2"/>
    <row r="1797" s="100" customFormat="1" ht="12.75" x14ac:dyDescent="0.2"/>
    <row r="1798" s="100" customFormat="1" ht="12.75" x14ac:dyDescent="0.2"/>
    <row r="1799" s="100" customFormat="1" ht="12.75" x14ac:dyDescent="0.2"/>
    <row r="1800" s="100" customFormat="1" ht="12.75" x14ac:dyDescent="0.2"/>
    <row r="1801" s="100" customFormat="1" ht="12.75" x14ac:dyDescent="0.2"/>
    <row r="1802" s="100" customFormat="1" ht="12.75" x14ac:dyDescent="0.2"/>
    <row r="1803" s="100" customFormat="1" ht="12.75" x14ac:dyDescent="0.2"/>
    <row r="1804" s="100" customFormat="1" ht="12.75" x14ac:dyDescent="0.2"/>
    <row r="1805" s="100" customFormat="1" ht="12.75" x14ac:dyDescent="0.2"/>
    <row r="1806" s="100" customFormat="1" ht="12.75" x14ac:dyDescent="0.2"/>
    <row r="1807" s="100" customFormat="1" ht="12.75" x14ac:dyDescent="0.2"/>
    <row r="1808" s="100" customFormat="1" ht="12.75" x14ac:dyDescent="0.2"/>
    <row r="1809" s="100" customFormat="1" ht="12.75" x14ac:dyDescent="0.2"/>
    <row r="1810" s="100" customFormat="1" ht="12.75" x14ac:dyDescent="0.2"/>
    <row r="1811" s="100" customFormat="1" ht="12.75" x14ac:dyDescent="0.2"/>
    <row r="1812" s="100" customFormat="1" ht="12.75" x14ac:dyDescent="0.2"/>
    <row r="1813" s="100" customFormat="1" ht="12.75" x14ac:dyDescent="0.2"/>
    <row r="1814" s="100" customFormat="1" ht="12.75" x14ac:dyDescent="0.2"/>
    <row r="1815" s="100" customFormat="1" ht="12.75" x14ac:dyDescent="0.2"/>
    <row r="1816" s="100" customFormat="1" ht="12.75" x14ac:dyDescent="0.2"/>
    <row r="1817" s="100" customFormat="1" ht="12.75" x14ac:dyDescent="0.2"/>
    <row r="1818" s="100" customFormat="1" ht="12.75" x14ac:dyDescent="0.2"/>
    <row r="1819" s="100" customFormat="1" ht="12.75" x14ac:dyDescent="0.2"/>
    <row r="1820" s="100" customFormat="1" ht="12.75" x14ac:dyDescent="0.2"/>
    <row r="1821" s="100" customFormat="1" ht="12.75" x14ac:dyDescent="0.2"/>
    <row r="1822" s="100" customFormat="1" ht="12.75" x14ac:dyDescent="0.2"/>
    <row r="1823" s="100" customFormat="1" ht="12.75" x14ac:dyDescent="0.2"/>
    <row r="1824" s="100" customFormat="1" ht="12.75" x14ac:dyDescent="0.2"/>
    <row r="1825" s="100" customFormat="1" ht="12.75" x14ac:dyDescent="0.2"/>
    <row r="1826" s="100" customFormat="1" ht="12.75" x14ac:dyDescent="0.2"/>
    <row r="1827" s="100" customFormat="1" ht="12.75" x14ac:dyDescent="0.2"/>
    <row r="1828" s="100" customFormat="1" ht="12.75" x14ac:dyDescent="0.2"/>
    <row r="1829" s="100" customFormat="1" ht="12.75" x14ac:dyDescent="0.2"/>
    <row r="1830" s="100" customFormat="1" ht="12.75" x14ac:dyDescent="0.2"/>
    <row r="1831" s="100" customFormat="1" ht="12.75" x14ac:dyDescent="0.2"/>
    <row r="1832" s="100" customFormat="1" ht="12.75" x14ac:dyDescent="0.2"/>
    <row r="1833" s="100" customFormat="1" ht="12.75" x14ac:dyDescent="0.2"/>
    <row r="1834" s="100" customFormat="1" ht="12.75" x14ac:dyDescent="0.2"/>
    <row r="1835" s="100" customFormat="1" ht="12.75" x14ac:dyDescent="0.2"/>
    <row r="1836" s="100" customFormat="1" ht="12.75" x14ac:dyDescent="0.2"/>
    <row r="1837" s="100" customFormat="1" ht="12.75" x14ac:dyDescent="0.2"/>
    <row r="1838" s="100" customFormat="1" ht="12.75" x14ac:dyDescent="0.2"/>
    <row r="1839" s="100" customFormat="1" ht="12.75" x14ac:dyDescent="0.2"/>
    <row r="1840" s="100" customFormat="1" ht="12.75" x14ac:dyDescent="0.2"/>
    <row r="1841" s="100" customFormat="1" ht="12.75" x14ac:dyDescent="0.2"/>
    <row r="1842" s="100" customFormat="1" ht="12.75" x14ac:dyDescent="0.2"/>
    <row r="1843" s="100" customFormat="1" ht="12.75" x14ac:dyDescent="0.2"/>
    <row r="1844" s="100" customFormat="1" ht="12.75" x14ac:dyDescent="0.2"/>
    <row r="1845" s="100" customFormat="1" ht="12.75" x14ac:dyDescent="0.2"/>
    <row r="1846" s="100" customFormat="1" ht="12.75" x14ac:dyDescent="0.2"/>
    <row r="1847" s="100" customFormat="1" ht="12.75" x14ac:dyDescent="0.2"/>
    <row r="1848" s="100" customFormat="1" ht="12.75" x14ac:dyDescent="0.2"/>
    <row r="1849" s="100" customFormat="1" ht="12.75" x14ac:dyDescent="0.2"/>
    <row r="1850" s="100" customFormat="1" ht="12.75" x14ac:dyDescent="0.2"/>
    <row r="1851" s="100" customFormat="1" ht="12.75" x14ac:dyDescent="0.2"/>
    <row r="1852" s="100" customFormat="1" ht="12.75" x14ac:dyDescent="0.2"/>
    <row r="1853" s="100" customFormat="1" ht="12.75" x14ac:dyDescent="0.2"/>
    <row r="1854" s="100" customFormat="1" ht="12.75" x14ac:dyDescent="0.2"/>
    <row r="1855" s="100" customFormat="1" ht="12.75" x14ac:dyDescent="0.2"/>
    <row r="1856" s="100" customFormat="1" ht="12.75" x14ac:dyDescent="0.2"/>
    <row r="1857" s="100" customFormat="1" ht="12.75" x14ac:dyDescent="0.2"/>
    <row r="1858" s="100" customFormat="1" ht="12.75" x14ac:dyDescent="0.2"/>
    <row r="1859" s="100" customFormat="1" ht="12.75" x14ac:dyDescent="0.2"/>
    <row r="1860" s="100" customFormat="1" ht="12.75" x14ac:dyDescent="0.2"/>
    <row r="1861" s="100" customFormat="1" ht="12.75" x14ac:dyDescent="0.2"/>
    <row r="1862" s="100" customFormat="1" ht="12.75" x14ac:dyDescent="0.2"/>
    <row r="1863" s="100" customFormat="1" ht="12.75" x14ac:dyDescent="0.2"/>
    <row r="1864" s="100" customFormat="1" ht="12.75" x14ac:dyDescent="0.2"/>
    <row r="1865" s="100" customFormat="1" ht="12.75" x14ac:dyDescent="0.2"/>
    <row r="1866" s="100" customFormat="1" ht="12.75" x14ac:dyDescent="0.2"/>
    <row r="1867" s="100" customFormat="1" ht="12.75" x14ac:dyDescent="0.2"/>
    <row r="1868" s="100" customFormat="1" ht="12.75" x14ac:dyDescent="0.2"/>
    <row r="1869" s="100" customFormat="1" ht="12.75" x14ac:dyDescent="0.2"/>
    <row r="1870" s="100" customFormat="1" ht="12.75" x14ac:dyDescent="0.2"/>
    <row r="1871" s="100" customFormat="1" ht="12.75" x14ac:dyDescent="0.2"/>
    <row r="1872" s="100" customFormat="1" ht="12.75" x14ac:dyDescent="0.2"/>
    <row r="1873" s="100" customFormat="1" ht="12.75" x14ac:dyDescent="0.2"/>
    <row r="1874" s="100" customFormat="1" ht="12.75" x14ac:dyDescent="0.2"/>
    <row r="1875" s="100" customFormat="1" ht="12.75" x14ac:dyDescent="0.2"/>
    <row r="1876" s="100" customFormat="1" ht="12.75" x14ac:dyDescent="0.2"/>
    <row r="1877" s="100" customFormat="1" ht="12.75" x14ac:dyDescent="0.2"/>
    <row r="1878" s="100" customFormat="1" ht="12.75" x14ac:dyDescent="0.2"/>
    <row r="1879" s="100" customFormat="1" ht="12.75" x14ac:dyDescent="0.2"/>
    <row r="1880" s="100" customFormat="1" ht="12.75" x14ac:dyDescent="0.2"/>
    <row r="1881" s="100" customFormat="1" ht="12.75" x14ac:dyDescent="0.2"/>
    <row r="1882" s="100" customFormat="1" ht="12.75" x14ac:dyDescent="0.2"/>
    <row r="1883" s="100" customFormat="1" ht="12.75" x14ac:dyDescent="0.2"/>
    <row r="1884" s="100" customFormat="1" ht="12.75" x14ac:dyDescent="0.2"/>
    <row r="1885" s="100" customFormat="1" ht="12.75" x14ac:dyDescent="0.2"/>
    <row r="1886" s="100" customFormat="1" ht="12.75" x14ac:dyDescent="0.2"/>
    <row r="1887" s="100" customFormat="1" ht="12.75" x14ac:dyDescent="0.2"/>
    <row r="1888" s="100" customFormat="1" ht="12.75" x14ac:dyDescent="0.2"/>
    <row r="1889" s="100" customFormat="1" ht="12.75" x14ac:dyDescent="0.2"/>
    <row r="1890" s="100" customFormat="1" ht="12.75" x14ac:dyDescent="0.2"/>
    <row r="1891" s="100" customFormat="1" ht="12.75" x14ac:dyDescent="0.2"/>
    <row r="1892" s="100" customFormat="1" ht="12.75" x14ac:dyDescent="0.2"/>
    <row r="1893" s="100" customFormat="1" ht="12.75" x14ac:dyDescent="0.2"/>
    <row r="1894" s="100" customFormat="1" ht="12.75" x14ac:dyDescent="0.2"/>
    <row r="1895" s="100" customFormat="1" ht="12.75" x14ac:dyDescent="0.2"/>
    <row r="1896" s="100" customFormat="1" ht="12.75" x14ac:dyDescent="0.2"/>
    <row r="1897" s="100" customFormat="1" ht="12.75" x14ac:dyDescent="0.2"/>
    <row r="1898" s="100" customFormat="1" ht="12.75" x14ac:dyDescent="0.2"/>
    <row r="1899" s="100" customFormat="1" ht="12.75" x14ac:dyDescent="0.2"/>
    <row r="1900" s="100" customFormat="1" ht="12.75" x14ac:dyDescent="0.2"/>
    <row r="1901" s="100" customFormat="1" ht="12.75" x14ac:dyDescent="0.2"/>
    <row r="1902" s="100" customFormat="1" ht="12.75" x14ac:dyDescent="0.2"/>
    <row r="1903" s="100" customFormat="1" ht="12.75" x14ac:dyDescent="0.2"/>
    <row r="1904" s="100" customFormat="1" ht="12.75" x14ac:dyDescent="0.2"/>
    <row r="1905" s="100" customFormat="1" ht="12.75" x14ac:dyDescent="0.2"/>
    <row r="1906" s="100" customFormat="1" ht="12.75" x14ac:dyDescent="0.2"/>
    <row r="1907" s="100" customFormat="1" ht="12.75" x14ac:dyDescent="0.2"/>
    <row r="1908" s="100" customFormat="1" ht="12.75" x14ac:dyDescent="0.2"/>
    <row r="1909" s="100" customFormat="1" ht="12.75" x14ac:dyDescent="0.2"/>
    <row r="1910" s="100" customFormat="1" ht="12.75" x14ac:dyDescent="0.2"/>
    <row r="1911" s="100" customFormat="1" ht="12.75" x14ac:dyDescent="0.2"/>
    <row r="1912" s="100" customFormat="1" ht="12.75" x14ac:dyDescent="0.2"/>
    <row r="1913" s="100" customFormat="1" ht="12.75" x14ac:dyDescent="0.2"/>
    <row r="1914" s="100" customFormat="1" ht="12.75" x14ac:dyDescent="0.2"/>
    <row r="1915" s="100" customFormat="1" ht="12.75" x14ac:dyDescent="0.2"/>
    <row r="1916" s="100" customFormat="1" ht="12.75" x14ac:dyDescent="0.2"/>
    <row r="1917" s="100" customFormat="1" ht="12.75" x14ac:dyDescent="0.2"/>
    <row r="1918" s="100" customFormat="1" ht="12.75" x14ac:dyDescent="0.2"/>
    <row r="1919" s="100" customFormat="1" ht="12.75" x14ac:dyDescent="0.2"/>
    <row r="1920" s="100" customFormat="1" ht="12.75" x14ac:dyDescent="0.2"/>
    <row r="1921" s="100" customFormat="1" ht="12.75" x14ac:dyDescent="0.2"/>
    <row r="1922" s="100" customFormat="1" ht="12.75" x14ac:dyDescent="0.2"/>
    <row r="1923" s="100" customFormat="1" ht="12.75" x14ac:dyDescent="0.2"/>
    <row r="1924" s="100" customFormat="1" ht="12.75" x14ac:dyDescent="0.2"/>
  </sheetData>
  <hyperlinks>
    <hyperlink ref="J12" r:id="rId1"/>
    <hyperlink ref="J16" r:id="rId2"/>
    <hyperlink ref="J18" r:id="rId3"/>
    <hyperlink ref="J1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Output_UE</vt:lpstr>
      <vt:lpstr>Output_VPN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2019-11-22T04:13:32Z</dcterms:created>
  <dcterms:modified xsi:type="dcterms:W3CDTF">2020-01-22T05:50:14Z</dcterms:modified>
</cp:coreProperties>
</file>