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Option 1" sheetId="69" r:id="rId4"/>
    <sheet name="Option 2" sheetId="71" r:id="rId5"/>
  </sheets>
  <definedNames>
    <definedName name="Conv_2021">Assumptions!$B$18</definedName>
    <definedName name="Option1_categories">'Option 1'!$C$42:$C$47</definedName>
    <definedName name="Option1_costs">'Option 1'!$P$42:$T$47</definedName>
    <definedName name="Option2_categories">'Option 2'!$C$47:$C$52</definedName>
    <definedName name="Option2_costs">'Option 2'!$P$47:$T$52</definedName>
    <definedName name="_xlnm.Print_Area" localSheetId="1">Summary!$A$1:$J$30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5" i="71" l="1"/>
  <c r="Q10" i="71"/>
  <c r="Q11" i="71"/>
  <c r="Q12" i="71"/>
  <c r="Q13" i="71"/>
  <c r="Q14" i="71"/>
  <c r="Q16" i="71"/>
  <c r="Q17" i="71"/>
  <c r="Q18" i="71"/>
  <c r="Q19" i="71"/>
  <c r="Q20" i="71"/>
  <c r="Q21" i="71"/>
  <c r="Q22" i="71"/>
  <c r="Q23" i="71"/>
  <c r="Q26" i="71"/>
  <c r="Q27" i="71"/>
  <c r="Q28" i="71"/>
  <c r="Q29" i="71"/>
  <c r="Q30" i="71"/>
  <c r="Q31" i="71"/>
  <c r="Q32" i="71"/>
  <c r="Q33" i="71"/>
  <c r="Q36" i="71"/>
  <c r="Q37" i="71"/>
  <c r="Q38" i="71"/>
  <c r="Q39" i="71"/>
  <c r="Q40" i="71"/>
  <c r="Q41" i="71"/>
  <c r="Q42" i="71"/>
  <c r="Q43" i="71"/>
  <c r="Q48" i="71"/>
  <c r="Q49" i="71"/>
  <c r="Q47" i="71"/>
  <c r="Q50" i="71"/>
  <c r="Q51" i="71"/>
  <c r="Q52" i="71"/>
  <c r="Q53" i="71"/>
  <c r="Q55" i="71"/>
  <c r="E14" i="74"/>
  <c r="F14" i="74"/>
  <c r="G14" i="74"/>
  <c r="H14" i="74"/>
  <c r="I14" i="74"/>
  <c r="J14" i="74"/>
  <c r="B16" i="74"/>
  <c r="B18" i="74"/>
  <c r="S15" i="71"/>
  <c r="S10" i="71"/>
  <c r="S11" i="71"/>
  <c r="S12" i="71"/>
  <c r="S13" i="71"/>
  <c r="S14" i="71"/>
  <c r="S16" i="71"/>
  <c r="S17" i="71"/>
  <c r="S18" i="71"/>
  <c r="S19" i="71"/>
  <c r="S20" i="71"/>
  <c r="S21" i="71"/>
  <c r="S22" i="71"/>
  <c r="S23" i="71"/>
  <c r="S26" i="71"/>
  <c r="S27" i="71"/>
  <c r="S28" i="71"/>
  <c r="S29" i="71"/>
  <c r="S30" i="71"/>
  <c r="S31" i="71"/>
  <c r="S32" i="71"/>
  <c r="S33" i="71"/>
  <c r="S36" i="71"/>
  <c r="S37" i="71"/>
  <c r="S38" i="71"/>
  <c r="S39" i="71"/>
  <c r="S40" i="71"/>
  <c r="S41" i="71"/>
  <c r="S42" i="71"/>
  <c r="S43" i="71"/>
  <c r="S47" i="71"/>
  <c r="S48" i="71"/>
  <c r="S49" i="71"/>
  <c r="S50" i="71"/>
  <c r="S51" i="71"/>
  <c r="S52" i="71"/>
  <c r="P10" i="71"/>
  <c r="P11" i="71"/>
  <c r="P12" i="71"/>
  <c r="P13" i="71"/>
  <c r="P14" i="71"/>
  <c r="P15" i="71"/>
  <c r="P16" i="71"/>
  <c r="P17" i="71"/>
  <c r="P18" i="71"/>
  <c r="P19" i="71"/>
  <c r="P20" i="71"/>
  <c r="P21" i="71"/>
  <c r="P22" i="71"/>
  <c r="P23" i="71"/>
  <c r="P26" i="71"/>
  <c r="P27" i="71"/>
  <c r="P28" i="71"/>
  <c r="P29" i="71"/>
  <c r="P30" i="71"/>
  <c r="P31" i="71"/>
  <c r="P32" i="71"/>
  <c r="P33" i="71"/>
  <c r="P36" i="71"/>
  <c r="P37" i="71"/>
  <c r="P38" i="71"/>
  <c r="P39" i="71"/>
  <c r="P40" i="71"/>
  <c r="P41" i="71"/>
  <c r="P42" i="71"/>
  <c r="P43" i="71"/>
  <c r="P47" i="71"/>
  <c r="P48" i="71"/>
  <c r="P49" i="71"/>
  <c r="P50" i="71"/>
  <c r="P51" i="71"/>
  <c r="P52" i="71"/>
  <c r="P53" i="71"/>
  <c r="P55" i="71"/>
  <c r="R10" i="71"/>
  <c r="R11" i="71"/>
  <c r="R12" i="71"/>
  <c r="R13" i="71"/>
  <c r="R14" i="71"/>
  <c r="R15" i="71"/>
  <c r="R16" i="71"/>
  <c r="R17" i="71"/>
  <c r="R18" i="71"/>
  <c r="R19" i="71"/>
  <c r="R20" i="71"/>
  <c r="R21" i="71"/>
  <c r="R22" i="71"/>
  <c r="R23" i="71"/>
  <c r="R26" i="71"/>
  <c r="R27" i="71"/>
  <c r="R28" i="71"/>
  <c r="R29" i="71"/>
  <c r="R30" i="71"/>
  <c r="R31" i="71"/>
  <c r="R32" i="71"/>
  <c r="R33" i="71"/>
  <c r="R36" i="71"/>
  <c r="R37" i="71"/>
  <c r="R38" i="71"/>
  <c r="R39" i="71"/>
  <c r="R40" i="71"/>
  <c r="R41" i="71"/>
  <c r="R42" i="71"/>
  <c r="R43" i="71"/>
  <c r="R47" i="71"/>
  <c r="R49" i="71"/>
  <c r="R48" i="71"/>
  <c r="R50" i="71"/>
  <c r="R51" i="71"/>
  <c r="R52" i="71"/>
  <c r="T10" i="71"/>
  <c r="T11" i="71"/>
  <c r="T12" i="71"/>
  <c r="T13" i="71"/>
  <c r="T14" i="71"/>
  <c r="T15" i="71"/>
  <c r="T16" i="71"/>
  <c r="T17" i="71"/>
  <c r="T18" i="71"/>
  <c r="T19" i="71"/>
  <c r="T20" i="71"/>
  <c r="T21" i="71"/>
  <c r="T22" i="71"/>
  <c r="T23" i="71"/>
  <c r="T26" i="71"/>
  <c r="T27" i="71"/>
  <c r="T28" i="71"/>
  <c r="T29" i="71"/>
  <c r="T30" i="71"/>
  <c r="T31" i="71"/>
  <c r="T32" i="71"/>
  <c r="T33" i="71"/>
  <c r="T36" i="71"/>
  <c r="T37" i="71"/>
  <c r="T38" i="71"/>
  <c r="T39" i="71"/>
  <c r="T40" i="71"/>
  <c r="T41" i="71"/>
  <c r="T42" i="71"/>
  <c r="T43" i="71"/>
  <c r="T48" i="71"/>
  <c r="T49" i="71"/>
  <c r="T47" i="71"/>
  <c r="T50" i="71"/>
  <c r="T51" i="71"/>
  <c r="T52" i="71"/>
  <c r="T53" i="71"/>
  <c r="T55" i="71"/>
  <c r="D20" i="70"/>
  <c r="F19" i="70"/>
  <c r="V55" i="71"/>
  <c r="V3" i="71"/>
  <c r="P10" i="69"/>
  <c r="P11" i="69"/>
  <c r="P12" i="69"/>
  <c r="P13" i="69"/>
  <c r="P14" i="69"/>
  <c r="P15" i="69"/>
  <c r="P16" i="69"/>
  <c r="P17" i="69"/>
  <c r="P18" i="69"/>
  <c r="P19" i="69"/>
  <c r="P20" i="69"/>
  <c r="P21" i="69"/>
  <c r="P24" i="69"/>
  <c r="P25" i="69"/>
  <c r="P26" i="69"/>
  <c r="P27" i="69"/>
  <c r="P28" i="69"/>
  <c r="P43" i="69"/>
  <c r="P31" i="69"/>
  <c r="P32" i="69"/>
  <c r="P33" i="69"/>
  <c r="P34" i="69"/>
  <c r="P35" i="69"/>
  <c r="P36" i="69"/>
  <c r="P37" i="69"/>
  <c r="P38" i="69"/>
  <c r="P44" i="69"/>
  <c r="P42" i="69"/>
  <c r="P45" i="69"/>
  <c r="P46" i="69"/>
  <c r="P47" i="69"/>
  <c r="P48" i="69"/>
  <c r="P50" i="69"/>
  <c r="Q10" i="69"/>
  <c r="Q11" i="69"/>
  <c r="Q12" i="69"/>
  <c r="Q13" i="69"/>
  <c r="Q14" i="69"/>
  <c r="Q15" i="69"/>
  <c r="Q16" i="69"/>
  <c r="Q17" i="69"/>
  <c r="Q18" i="69"/>
  <c r="Q19" i="69"/>
  <c r="Q20" i="69"/>
  <c r="Q21" i="69"/>
  <c r="Q24" i="69"/>
  <c r="Q25" i="69"/>
  <c r="Q26" i="69"/>
  <c r="Q27" i="69"/>
  <c r="Q28" i="69"/>
  <c r="Q31" i="69"/>
  <c r="Q32" i="69"/>
  <c r="Q33" i="69"/>
  <c r="Q34" i="69"/>
  <c r="Q35" i="69"/>
  <c r="Q36" i="69"/>
  <c r="Q37" i="69"/>
  <c r="Q38" i="69"/>
  <c r="Q42" i="69"/>
  <c r="Q43" i="69"/>
  <c r="Q44" i="69"/>
  <c r="Q45" i="69"/>
  <c r="Q46" i="69"/>
  <c r="Q47" i="69"/>
  <c r="R10" i="69"/>
  <c r="R11" i="69"/>
  <c r="R12" i="69"/>
  <c r="R13" i="69"/>
  <c r="R14" i="69"/>
  <c r="R15" i="69"/>
  <c r="R16" i="69"/>
  <c r="R17" i="69"/>
  <c r="R18" i="69"/>
  <c r="R19" i="69"/>
  <c r="R20" i="69"/>
  <c r="R21" i="69"/>
  <c r="R24" i="69"/>
  <c r="R25" i="69"/>
  <c r="R26" i="69"/>
  <c r="R27" i="69"/>
  <c r="R28" i="69"/>
  <c r="R31" i="69"/>
  <c r="R32" i="69"/>
  <c r="R33" i="69"/>
  <c r="R34" i="69"/>
  <c r="R35" i="69"/>
  <c r="R36" i="69"/>
  <c r="R37" i="69"/>
  <c r="R38" i="69"/>
  <c r="R42" i="69"/>
  <c r="R43" i="69"/>
  <c r="R44" i="69"/>
  <c r="R45" i="69"/>
  <c r="R46" i="69"/>
  <c r="R47" i="69"/>
  <c r="R48" i="69"/>
  <c r="R50" i="69"/>
  <c r="S10" i="69"/>
  <c r="S11" i="69"/>
  <c r="S12" i="69"/>
  <c r="S13" i="69"/>
  <c r="S14" i="69"/>
  <c r="S15" i="69"/>
  <c r="S16" i="69"/>
  <c r="S17" i="69"/>
  <c r="S18" i="69"/>
  <c r="S19" i="69"/>
  <c r="S20" i="69"/>
  <c r="S21" i="69"/>
  <c r="S24" i="69"/>
  <c r="S25" i="69"/>
  <c r="S26" i="69"/>
  <c r="S27" i="69"/>
  <c r="S28" i="69"/>
  <c r="S31" i="69"/>
  <c r="S32" i="69"/>
  <c r="S33" i="69"/>
  <c r="S34" i="69"/>
  <c r="S35" i="69"/>
  <c r="S36" i="69"/>
  <c r="S37" i="69"/>
  <c r="S38" i="69"/>
  <c r="S42" i="69"/>
  <c r="S44" i="69"/>
  <c r="S43" i="69"/>
  <c r="S45" i="69"/>
  <c r="S46" i="69"/>
  <c r="S47" i="69"/>
  <c r="T10" i="69"/>
  <c r="T11" i="69"/>
  <c r="T12" i="69"/>
  <c r="T13" i="69"/>
  <c r="T14" i="69"/>
  <c r="T15" i="69"/>
  <c r="T16" i="69"/>
  <c r="T17" i="69"/>
  <c r="T18" i="69"/>
  <c r="T19" i="69"/>
  <c r="T20" i="69"/>
  <c r="T21" i="69"/>
  <c r="T24" i="69"/>
  <c r="T25" i="69"/>
  <c r="T26" i="69"/>
  <c r="T27" i="69"/>
  <c r="T28" i="69"/>
  <c r="T43" i="69"/>
  <c r="T31" i="69"/>
  <c r="T32" i="69"/>
  <c r="T33" i="69"/>
  <c r="T34" i="69"/>
  <c r="T35" i="69"/>
  <c r="T36" i="69"/>
  <c r="T37" i="69"/>
  <c r="T38" i="69"/>
  <c r="T44" i="69"/>
  <c r="T42" i="69"/>
  <c r="T45" i="69"/>
  <c r="T46" i="69"/>
  <c r="T47" i="69"/>
  <c r="D11" i="70"/>
  <c r="U55" i="71"/>
  <c r="C57" i="71"/>
  <c r="C54" i="71"/>
  <c r="C53" i="71"/>
  <c r="A5" i="71"/>
  <c r="A2" i="71"/>
  <c r="A1" i="71"/>
  <c r="A24" i="74"/>
  <c r="A23" i="74"/>
  <c r="A5" i="69"/>
  <c r="C52" i="69"/>
  <c r="D13" i="70"/>
  <c r="D12" i="70"/>
  <c r="D22" i="70"/>
  <c r="D21" i="70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G19" i="70"/>
  <c r="H19" i="70"/>
  <c r="I19" i="70"/>
  <c r="J19" i="70"/>
  <c r="C49" i="69"/>
  <c r="C48" i="69"/>
  <c r="A2" i="69"/>
  <c r="A1" i="69"/>
  <c r="A2" i="72"/>
  <c r="A1" i="72"/>
  <c r="A2" i="70"/>
  <c r="A1" i="70"/>
  <c r="D5" i="72"/>
  <c r="S53" i="71"/>
  <c r="S55" i="71"/>
  <c r="T48" i="69"/>
  <c r="T50" i="69"/>
  <c r="S48" i="69"/>
  <c r="S50" i="69"/>
  <c r="R53" i="71"/>
  <c r="R55" i="71"/>
  <c r="Q48" i="69"/>
  <c r="Q50" i="69"/>
  <c r="V50" i="69"/>
  <c r="V3" i="69"/>
  <c r="D6" i="72"/>
  <c r="D7" i="70"/>
  <c r="R49" i="69"/>
  <c r="P49" i="69"/>
  <c r="T54" i="71"/>
  <c r="S54" i="71"/>
  <c r="Q54" i="71"/>
  <c r="P54" i="71"/>
  <c r="S49" i="69"/>
  <c r="T49" i="69"/>
  <c r="Q49" i="69"/>
  <c r="D52" i="69"/>
  <c r="R54" i="71"/>
  <c r="D57" i="71"/>
  <c r="F11" i="70"/>
  <c r="F13" i="70"/>
  <c r="G12" i="70"/>
  <c r="H11" i="70"/>
  <c r="H13" i="70"/>
  <c r="I12" i="70"/>
  <c r="G21" i="70"/>
  <c r="F21" i="70"/>
  <c r="G22" i="70"/>
  <c r="J13" i="70"/>
  <c r="J20" i="70"/>
  <c r="I21" i="70"/>
  <c r="J12" i="70"/>
  <c r="J22" i="70"/>
  <c r="F12" i="70"/>
  <c r="G11" i="70"/>
  <c r="G13" i="70"/>
  <c r="H12" i="70"/>
  <c r="I11" i="70"/>
  <c r="I13" i="70"/>
  <c r="F22" i="70"/>
  <c r="I22" i="70"/>
  <c r="I20" i="70"/>
  <c r="J11" i="70"/>
  <c r="H21" i="70"/>
  <c r="F20" i="70"/>
  <c r="H22" i="70"/>
  <c r="J21" i="70"/>
  <c r="H20" i="70"/>
  <c r="G20" i="70"/>
  <c r="G23" i="70" l="1"/>
  <c r="H23" i="70"/>
  <c r="F23" i="70"/>
  <c r="R12" i="72"/>
  <c r="J14" i="70"/>
  <c r="I23" i="70"/>
  <c r="Q12" i="72"/>
  <c r="I14" i="70"/>
  <c r="O12" i="72"/>
  <c r="M12" i="72"/>
  <c r="K12" i="72"/>
  <c r="I12" i="72"/>
  <c r="G14" i="70"/>
  <c r="G12" i="72"/>
  <c r="S12" i="72"/>
  <c r="J23" i="70"/>
  <c r="T12" i="72"/>
  <c r="P12" i="72"/>
  <c r="N12" i="72"/>
  <c r="L12" i="72"/>
  <c r="H14" i="70"/>
  <c r="J12" i="72"/>
  <c r="H12" i="72"/>
  <c r="F12" i="72"/>
  <c r="V12" i="72" s="1"/>
  <c r="F14" i="70"/>
  <c r="F16" i="70" s="1"/>
  <c r="X12" i="72" l="1"/>
  <c r="W12" i="72"/>
  <c r="AB12" i="72" s="1"/>
  <c r="Z12" i="72"/>
  <c r="F25" i="70"/>
  <c r="Y12" i="72"/>
</calcChain>
</file>

<file path=xl/sharedStrings.xml><?xml version="1.0" encoding="utf-8"?>
<sst xmlns="http://schemas.openxmlformats.org/spreadsheetml/2006/main" count="368" uniqueCount="76">
  <si>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</si>
  <si>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</si>
  <si>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</si>
  <si>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</si>
  <si>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</si>
  <si>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</si>
  <si>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</si>
  <si>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</si>
  <si>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</si>
  <si>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</si>
  <si>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</si>
  <si>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</si>
  <si>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</si>
  <si>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</si>
  <si>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</si>
  <si>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</si>
  <si>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</si>
  <si>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</si>
  <si>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</si>
  <si>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</si>
  <si>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</si>
  <si>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</si>
  <si>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</si>
  <si>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</si>
  <si>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</si>
  <si>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</si>
  <si>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</si>
  <si>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</si>
  <si>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</si>
  <si>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</si>
  <si>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</si>
  <si>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</si>
  <si>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</si>
  <si>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</si>
  <si>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</si>
  <si>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</si>
  <si>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</si>
  <si>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</si>
  <si>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</si>
  <si>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</si>
  <si>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</si>
  <si>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</si>
  <si>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</si>
  <si>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</si>
  <si>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</si>
  <si>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</si>
  <si>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</si>
  <si>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</si>
  <si>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</si>
  <si>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</si>
  <si>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</si>
  <si>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EMS</t>
  </si>
  <si>
    <t>Asset Investment Planning - Copperleaf Upgrade</t>
  </si>
  <si>
    <t>Corporate Services Management - iManage Upgrade</t>
  </si>
  <si>
    <t>Corporate Services Management - ReadSoft Maintenance</t>
  </si>
  <si>
    <t>Corporate Services Management - RecWise Maintenance</t>
  </si>
  <si>
    <t>Corporate Services Management - SuccessFactors Implementation</t>
  </si>
  <si>
    <t>Database Management - Oracle Upgrade</t>
  </si>
  <si>
    <t>Field Services - Click Upgrade</t>
  </si>
  <si>
    <t>Field Services - Crew Manager (PORD) Upgrade</t>
  </si>
  <si>
    <t>Field Services - Dial Before You Dig Upgrade</t>
  </si>
  <si>
    <t>Field Services - Drawing Management System Upgrade</t>
  </si>
  <si>
    <t>Field Services - Vegetation Management Solution Upgrade</t>
  </si>
  <si>
    <t>Database Management - Click Upgrade</t>
  </si>
  <si>
    <t>Customer Facing Platforms - External Website Maintenance</t>
  </si>
  <si>
    <t>Options</t>
  </si>
  <si>
    <t>Corporate Services Management - ReadSoft integration to MuleSoft</t>
  </si>
  <si>
    <t>Corporate Services Management - RecWise transfer functionalities to S/4 Hana</t>
  </si>
  <si>
    <t>Customer Facing Platforms - Outcource External Website Maintenance</t>
  </si>
  <si>
    <t>Database Management - Oracle Upgrade to new version</t>
  </si>
  <si>
    <t>NPV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</si>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</sst>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;[Red]\-&quot;$&quot;#,##0;\ &quot;-&quot;"/>
    <numFmt numFmtId="167" formatCode="&quot;$&quot;#,##0.00;[Red]\-&quot;$&quot;#,##0.00;\ &quot;-&quot;"/>
    <numFmt numFmtId="168" formatCode="#,##0_ ;[Red]\-#,##0;\ &quot;-&quot;"/>
    <numFmt numFmtId="169" formatCode="#,##0_ ;[Red]\-#,##0\ "/>
    <numFmt numFmtId="170" formatCode="&quot;Convert to December&quot;\ ####"/>
    <numFmt numFmtId="171" formatCode="0.00000000000000000"/>
    <numFmt numFmtId="172" formatCode="0.000000"/>
    <numFmt numFmtId="173" formatCode="_-* #,##0_-;\-* #,##0_-;_-* &quot;-&quot;??_-;_-@_-"/>
    <numFmt numFmtId="174" formatCode="#,##0.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rgb="FF0033CC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4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6" fontId="12" fillId="0" borderId="1" xfId="0" applyNumberFormat="1" applyFont="1" applyFill="1" applyBorder="1" applyAlignment="1">
      <alignment horizontal="right" vertical="top"/>
    </xf>
    <xf numFmtId="166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6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6" fontId="13" fillId="0" borderId="5" xfId="0" applyNumberFormat="1" applyFont="1" applyFill="1" applyBorder="1" applyAlignment="1">
      <alignment horizontal="right" vertical="top"/>
    </xf>
    <xf numFmtId="166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6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6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8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1" fontId="0" fillId="0" borderId="0" xfId="0" applyNumberFormat="1" applyFont="1"/>
    <xf numFmtId="10" fontId="35" fillId="0" borderId="0" xfId="26" applyNumberFormat="1" applyFont="1"/>
    <xf numFmtId="170" fontId="36" fillId="0" borderId="0" xfId="0" applyNumberFormat="1" applyFont="1"/>
    <xf numFmtId="0" fontId="36" fillId="0" borderId="0" xfId="0" applyFont="1"/>
    <xf numFmtId="170" fontId="37" fillId="0" borderId="0" xfId="0" applyNumberFormat="1" applyFont="1"/>
    <xf numFmtId="0" fontId="37" fillId="0" borderId="0" xfId="0" applyFont="1"/>
    <xf numFmtId="172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8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7" fontId="45" fillId="2" borderId="1" xfId="0" applyNumberFormat="1" applyFont="1" applyFill="1" applyBorder="1" applyAlignment="1">
      <alignment horizontal="right" vertical="top"/>
    </xf>
    <xf numFmtId="169" fontId="45" fillId="2" borderId="1" xfId="0" applyNumberFormat="1" applyFont="1" applyFill="1" applyBorder="1" applyAlignment="1">
      <alignment horizontal="right" vertical="top"/>
    </xf>
    <xf numFmtId="169" fontId="45" fillId="2" borderId="1" xfId="0" applyNumberFormat="1" applyFont="1" applyFill="1" applyBorder="1"/>
    <xf numFmtId="171" fontId="12" fillId="0" borderId="0" xfId="0" applyNumberFormat="1" applyFont="1"/>
    <xf numFmtId="168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3" fontId="49" fillId="2" borderId="1" xfId="0" applyNumberFormat="1" applyFont="1" applyFill="1" applyBorder="1"/>
    <xf numFmtId="166" fontId="45" fillId="2" borderId="1" xfId="0" applyNumberFormat="1" applyFont="1" applyFill="1" applyBorder="1" applyAlignment="1">
      <alignment horizontal="right" vertical="top"/>
    </xf>
    <xf numFmtId="173" fontId="12" fillId="0" borderId="0" xfId="27" applyNumberFormat="1" applyFont="1"/>
    <xf numFmtId="173" fontId="0" fillId="0" borderId="0" xfId="27" applyNumberFormat="1" applyFont="1"/>
    <xf numFmtId="174" fontId="49" fillId="2" borderId="1" xfId="0" applyNumberFormat="1" applyFont="1" applyFill="1" applyBorder="1"/>
    <xf numFmtId="0" fontId="13" fillId="0" borderId="3" xfId="0" applyFont="1" applyBorder="1" applyAlignment="1">
      <alignment horizontal="left"/>
    </xf>
    <xf numFmtId="166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</cellXfs>
  <cellStyles count="28">
    <cellStyle name="Comma" xfId="27" builtinId="3"/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7"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>
      <selection activeCell="H23" sqref="H23"/>
    </sheetView>
  </sheetViews>
  <sheetFormatPr defaultColWidth="9.140625" defaultRowHeight="18.75" x14ac:dyDescent="0.3"/>
  <cols>
    <col min="1" max="1" width="4.28515625" style="47" customWidth="1"/>
    <col min="2" max="2" width="7.85546875" style="47" customWidth="1"/>
    <col min="3" max="3" width="15.140625" style="47" customWidth="1"/>
    <col min="4" max="4" width="17.85546875" style="47" customWidth="1"/>
    <col min="5" max="9" width="10.7109375" style="47" customWidth="1"/>
    <col min="10" max="10" width="10.7109375" style="79" customWidth="1"/>
    <col min="11" max="20" width="10.7109375" style="47" customWidth="1"/>
    <col min="21" max="21" width="4" style="47" customWidth="1"/>
    <col min="22" max="26" width="10.7109375" style="47" customWidth="1"/>
    <col min="27" max="27" width="3.140625" style="47" customWidth="1"/>
    <col min="28" max="28" width="10.7109375" style="47" customWidth="1"/>
    <col min="29" max="29" width="9.140625" style="47"/>
    <col min="30" max="30" width="14.85546875" style="47" bestFit="1" customWidth="1"/>
    <col min="31" max="16384" width="9.140625" style="47"/>
  </cols>
  <sheetData>
    <row r="1" spans="1:30" ht="21" x14ac:dyDescent="0.35">
      <c r="A1" s="18" t="str">
        <f>Assumptions!A1</f>
        <v>EMS</v>
      </c>
      <c r="B1" s="45"/>
      <c r="C1" s="45"/>
      <c r="D1" s="45"/>
      <c r="E1" s="45"/>
      <c r="F1" s="45"/>
      <c r="G1" s="45"/>
      <c r="H1" s="45"/>
      <c r="I1" s="45"/>
      <c r="J1" s="46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30" x14ac:dyDescent="0.3">
      <c r="A2" s="17" t="str">
        <f>Assumptions!A2</f>
        <v>VPN</v>
      </c>
      <c r="B2" s="45"/>
      <c r="C2" s="45"/>
      <c r="D2" s="45"/>
      <c r="E2" s="45"/>
      <c r="F2" s="45"/>
      <c r="G2" s="45"/>
      <c r="H2" s="45"/>
      <c r="I2" s="45"/>
      <c r="J2" s="4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30" s="50" customFormat="1" x14ac:dyDescent="0.3">
      <c r="A3" s="37" t="s">
        <v>47</v>
      </c>
      <c r="B3" s="48"/>
      <c r="C3" s="48"/>
      <c r="D3" s="48"/>
      <c r="E3" s="48"/>
      <c r="F3" s="48"/>
      <c r="G3" s="48"/>
      <c r="H3" s="48"/>
      <c r="I3" s="48"/>
      <c r="J3" s="48"/>
      <c r="K3" s="49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</row>
    <row r="4" spans="1:30" ht="12.75" customHeight="1" x14ac:dyDescent="0.3">
      <c r="A4" s="51"/>
      <c r="B4" s="51"/>
      <c r="C4" s="52"/>
      <c r="D4" s="52"/>
      <c r="E4" s="53"/>
      <c r="F4" s="52"/>
      <c r="G4" s="52"/>
      <c r="H4" s="53"/>
      <c r="I4" s="53"/>
      <c r="J4" s="53"/>
      <c r="K4" s="53"/>
      <c r="L4" s="53"/>
      <c r="M4" s="54"/>
      <c r="N4" s="54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</row>
    <row r="5" spans="1:30" s="2" customFormat="1" ht="12.75" customHeight="1" x14ac:dyDescent="0.2">
      <c r="A5" s="55"/>
      <c r="B5" s="56" t="s">
        <v>24</v>
      </c>
      <c r="C5" s="57"/>
      <c r="D5" s="58" t="str">
        <f>Summary!D6</f>
        <v>Option 1</v>
      </c>
      <c r="E5" s="59"/>
      <c r="F5" s="60"/>
      <c r="G5" s="60"/>
      <c r="H5" s="59"/>
      <c r="I5" s="59"/>
      <c r="J5" s="59"/>
      <c r="K5" s="59"/>
      <c r="L5" s="59"/>
      <c r="M5" s="61"/>
      <c r="N5" s="61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</row>
    <row r="6" spans="1:30" s="2" customFormat="1" ht="12.75" customHeight="1" x14ac:dyDescent="0.2">
      <c r="A6" s="55"/>
      <c r="B6" s="115" t="s">
        <v>40</v>
      </c>
      <c r="C6" s="66"/>
      <c r="D6" s="114" t="b">
        <f>AND('Option 1'!V3, 'Option 2'!V3)</f>
        <v>1</v>
      </c>
      <c r="E6" s="59"/>
      <c r="F6" s="60"/>
      <c r="G6" s="60"/>
      <c r="H6" s="59"/>
      <c r="I6" s="59"/>
      <c r="J6" s="59"/>
      <c r="K6" s="59"/>
      <c r="L6" s="59"/>
      <c r="M6" s="61"/>
      <c r="N6" s="61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</row>
    <row r="7" spans="1:30" s="2" customFormat="1" ht="12.75" customHeight="1" x14ac:dyDescent="0.2">
      <c r="A7" s="55"/>
      <c r="B7" s="55"/>
      <c r="C7" s="55"/>
      <c r="D7" s="55"/>
      <c r="E7" s="55"/>
      <c r="F7" s="55"/>
      <c r="G7" s="60"/>
      <c r="H7" s="59"/>
      <c r="I7" s="59"/>
      <c r="J7" s="59"/>
      <c r="K7" s="59"/>
      <c r="L7" s="59"/>
      <c r="M7" s="61"/>
      <c r="N7" s="61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</row>
    <row r="8" spans="1:30" s="2" customFormat="1" ht="12.75" customHeight="1" x14ac:dyDescent="0.2">
      <c r="A8" s="62"/>
      <c r="B8" s="63"/>
      <c r="C8" s="60"/>
      <c r="D8" s="60"/>
      <c r="E8" s="59"/>
      <c r="F8" s="60"/>
      <c r="G8" s="60"/>
      <c r="H8" s="59"/>
      <c r="I8" s="59"/>
      <c r="J8" s="59"/>
      <c r="K8" s="59"/>
      <c r="L8" s="59"/>
      <c r="M8" s="61"/>
      <c r="N8" s="61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</row>
    <row r="9" spans="1:30" s="2" customFormat="1" ht="12.75" customHeight="1" x14ac:dyDescent="0.2">
      <c r="A9" s="64"/>
      <c r="B9" s="65" t="s">
        <v>48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</row>
    <row r="10" spans="1:30" s="2" customFormat="1" ht="12.75" customHeight="1" x14ac:dyDescent="0.2">
      <c r="A10" s="66"/>
      <c r="B10" s="67"/>
      <c r="C10" s="68"/>
      <c r="D10" s="68"/>
      <c r="E10" s="69"/>
      <c r="F10" s="70" t="s">
        <v>16</v>
      </c>
      <c r="G10" s="70" t="str">
        <f>F10</f>
        <v>2021/22</v>
      </c>
      <c r="H10" s="69" t="str">
        <f>G10</f>
        <v>2021/22</v>
      </c>
      <c r="I10" s="70" t="s">
        <v>17</v>
      </c>
      <c r="J10" s="70" t="str">
        <f>I10</f>
        <v>2022/23</v>
      </c>
      <c r="K10" s="69" t="str">
        <f>J10</f>
        <v>2022/23</v>
      </c>
      <c r="L10" s="70" t="s">
        <v>18</v>
      </c>
      <c r="M10" s="70" t="str">
        <f>L10</f>
        <v>2023/24</v>
      </c>
      <c r="N10" s="69" t="str">
        <f>M10</f>
        <v>2023/24</v>
      </c>
      <c r="O10" s="70" t="s">
        <v>19</v>
      </c>
      <c r="P10" s="70" t="str">
        <f>O10</f>
        <v>2024/25</v>
      </c>
      <c r="Q10" s="69" t="str">
        <f>P10</f>
        <v>2024/25</v>
      </c>
      <c r="R10" s="70" t="s">
        <v>20</v>
      </c>
      <c r="S10" s="70" t="str">
        <f>R10</f>
        <v>2025/26</v>
      </c>
      <c r="T10" s="69" t="str">
        <f>S10</f>
        <v>2025/26</v>
      </c>
      <c r="U10" s="66"/>
      <c r="V10" s="70" t="str">
        <f>F10</f>
        <v>2021/22</v>
      </c>
      <c r="W10" s="70" t="str">
        <f>I10</f>
        <v>2022/23</v>
      </c>
      <c r="X10" s="70" t="str">
        <f>L10</f>
        <v>2023/24</v>
      </c>
      <c r="Y10" s="70" t="str">
        <f>O10</f>
        <v>2024/25</v>
      </c>
      <c r="Z10" s="70" t="str">
        <f>R10</f>
        <v>2025/26</v>
      </c>
      <c r="AA10" s="66"/>
      <c r="AB10" s="70" t="s">
        <v>25</v>
      </c>
    </row>
    <row r="11" spans="1:30" s="2" customFormat="1" ht="12.75" customHeight="1" x14ac:dyDescent="0.2">
      <c r="A11" s="66"/>
      <c r="B11" s="71" t="s">
        <v>26</v>
      </c>
      <c r="C11" s="71" t="s">
        <v>27</v>
      </c>
      <c r="D11" s="71"/>
      <c r="E11" s="72"/>
      <c r="F11" s="73" t="s">
        <v>2</v>
      </c>
      <c r="G11" s="73" t="s">
        <v>1</v>
      </c>
      <c r="H11" s="72" t="s">
        <v>4</v>
      </c>
      <c r="I11" s="73" t="s">
        <v>2</v>
      </c>
      <c r="J11" s="73" t="s">
        <v>1</v>
      </c>
      <c r="K11" s="72" t="s">
        <v>4</v>
      </c>
      <c r="L11" s="73" t="s">
        <v>2</v>
      </c>
      <c r="M11" s="73" t="s">
        <v>1</v>
      </c>
      <c r="N11" s="72" t="s">
        <v>4</v>
      </c>
      <c r="O11" s="73" t="s">
        <v>2</v>
      </c>
      <c r="P11" s="73" t="s">
        <v>1</v>
      </c>
      <c r="Q11" s="72" t="s">
        <v>4</v>
      </c>
      <c r="R11" s="74" t="s">
        <v>2</v>
      </c>
      <c r="S11" s="74" t="s">
        <v>1</v>
      </c>
      <c r="T11" s="74" t="s">
        <v>4</v>
      </c>
      <c r="U11" s="66"/>
      <c r="V11" s="74"/>
      <c r="W11" s="74"/>
      <c r="X11" s="74"/>
      <c r="Y11" s="74"/>
      <c r="Z11" s="74"/>
      <c r="AA11" s="66"/>
      <c r="AB11" s="74"/>
    </row>
    <row r="12" spans="1:30" s="2" customFormat="1" ht="12.75" customHeight="1" x14ac:dyDescent="0.2">
      <c r="A12" s="66"/>
      <c r="B12" s="75">
        <v>200</v>
      </c>
      <c r="C12" s="76" t="s">
        <v>28</v>
      </c>
      <c r="D12" s="76"/>
      <c r="E12" s="76"/>
      <c r="F12" s="77">
        <f ca="1">INDEX(Summary!$F$11:$J$38,MATCH($D$5&amp;F$11,Summary!$D$11:$D$38,0), MATCH(Output!F$10, Summary!$F$10:$J$10,0))/1000</f>
        <v>3021.8421271249931</v>
      </c>
      <c r="G12" s="77">
        <f ca="1">INDEX(Summary!$F$11:$J$38,MATCH($D$5&amp;G$11,Summary!$D$11:$D$38,0), MATCH(Output!G$10, Summary!$F$10:$J$10,0))/1000</f>
        <v>344.1890435925319</v>
      </c>
      <c r="H12" s="77">
        <f ca="1">INDEX(Summary!$F$11:$J$38,MATCH($D$5&amp;H$11,Summary!$D$11:$D$38,0), MATCH(Output!H$10, Summary!$F$10:$J$10,0))/1000</f>
        <v>1411.1877872479133</v>
      </c>
      <c r="I12" s="77">
        <f ca="1">INDEX(Summary!$F$11:$J$38,MATCH($D$5&amp;I$11,Summary!$D$11:$D$38,0), MATCH(Output!I$10, Summary!$F$10:$J$10,0))/1000</f>
        <v>1507.6856865527266</v>
      </c>
      <c r="J12" s="77">
        <f ca="1">INDEX(Summary!$F$11:$J$38,MATCH($D$5&amp;J$11,Summary!$D$11:$D$38,0), MATCH(Output!J$10, Summary!$F$10:$J$10,0))/1000</f>
        <v>275.35123487402552</v>
      </c>
      <c r="K12" s="77">
        <f ca="1">INDEX(Summary!$F$11:$J$38,MATCH($D$5&amp;K$11,Summary!$D$11:$D$38,0), MATCH(Output!K$10, Summary!$F$10:$J$10,0))/1000</f>
        <v>1059.0432110539441</v>
      </c>
      <c r="L12" s="77">
        <f ca="1">INDEX(Summary!$F$11:$J$38,MATCH($D$5&amp;L$11,Summary!$D$11:$D$38,0), MATCH(Output!L$10, Summary!$F$10:$J$10,0))/1000</f>
        <v>990.41361023073125</v>
      </c>
      <c r="M12" s="77">
        <f ca="1">INDEX(Summary!$F$11:$J$38,MATCH($D$5&amp;M$11,Summary!$D$11:$D$38,0), MATCH(Output!M$10, Summary!$F$10:$J$10,0))/1000</f>
        <v>529.52160552697205</v>
      </c>
      <c r="N12" s="77">
        <f ca="1">INDEX(Summary!$F$11:$J$38,MATCH($D$5&amp;N$11,Summary!$D$11:$D$38,0), MATCH(Output!N$10, Summary!$F$10:$J$10,0))/1000</f>
        <v>513.63595736116304</v>
      </c>
      <c r="O12" s="77">
        <f ca="1">INDEX(Summary!$F$11:$J$38,MATCH($D$5&amp;O$11,Summary!$D$11:$D$38,0), MATCH(Output!O$10, Summary!$F$10:$J$10,0))/1000</f>
        <v>2672.4214100698546</v>
      </c>
      <c r="P12" s="77">
        <f ca="1">INDEX(Summary!$F$11:$J$38,MATCH($D$5&amp;P$11,Summary!$D$11:$D$38,0), MATCH(Output!P$10, Summary!$F$10:$J$10,0))/1000</f>
        <v>487.15987708481435</v>
      </c>
      <c r="Q12" s="77">
        <f ca="1">INDEX(Summary!$F$11:$J$38,MATCH($D$5&amp;Q$11,Summary!$D$11:$D$38,0), MATCH(Output!Q$10, Summary!$F$10:$J$10,0))/1000</f>
        <v>1638.0750866976882</v>
      </c>
      <c r="R12" s="77">
        <f ca="1">INDEX(Summary!$F$11:$J$38,MATCH($D$5&amp;R$11,Summary!$D$11:$D$38,0), MATCH(Output!R$10, Summary!$F$10:$J$10,0))/1000</f>
        <v>194.12262058618799</v>
      </c>
      <c r="S12" s="77">
        <f ca="1">INDEX(Summary!$F$11:$J$38,MATCH($D$5&amp;S$11,Summary!$D$11:$D$38,0), MATCH(Output!S$10, Summary!$F$10:$J$10,0))/1000</f>
        <v>79.428240829045819</v>
      </c>
      <c r="T12" s="77">
        <f ca="1">INDEX(Summary!$F$11:$J$38,MATCH($D$5&amp;T$11,Summary!$D$11:$D$38,0), MATCH(Output!T$10, Summary!$F$10:$J$10,0))/1000</f>
        <v>105.90432110539443</v>
      </c>
      <c r="U12" s="66"/>
      <c r="V12" s="77">
        <f ca="1">SUMIF($F$10:$T$10,V$10,$F12:$T12)</f>
        <v>4777.2189579654387</v>
      </c>
      <c r="W12" s="77">
        <f ca="1">SUMIF($F$10:$T$10,W$10,$F12:$T12)</f>
        <v>2842.0801324806962</v>
      </c>
      <c r="X12" s="77">
        <f ca="1">SUMIF($F$10:$T$10,X$10,$F12:$T12)</f>
        <v>2033.5711731188662</v>
      </c>
      <c r="Y12" s="77">
        <f ca="1">SUMIF($F$10:$T$10,Y$10,$F12:$T12)</f>
        <v>4797.6563738523573</v>
      </c>
      <c r="Z12" s="77">
        <f ca="1">SUMIF($F$10:$T$10,Z$10,$F12:$T12)</f>
        <v>379.45518252062828</v>
      </c>
      <c r="AA12" s="66"/>
      <c r="AB12" s="77">
        <f ca="1">SUM(V12:Z12)</f>
        <v>14829.981819937988</v>
      </c>
    </row>
    <row r="13" spans="1:30" s="2" customFormat="1" ht="12.75" customHeight="1" x14ac:dyDescent="0.2">
      <c r="A13" s="66"/>
      <c r="B13" s="75"/>
      <c r="C13" s="76"/>
      <c r="D13" s="76"/>
      <c r="E13" s="76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66"/>
      <c r="V13" s="77"/>
      <c r="W13" s="77"/>
      <c r="X13" s="77"/>
      <c r="Y13" s="77"/>
      <c r="Z13" s="77"/>
      <c r="AA13" s="66"/>
      <c r="AB13" s="77"/>
      <c r="AD13" s="78"/>
    </row>
  </sheetData>
  <conditionalFormatting sqref="D6">
    <cfRule type="expression" dxfId="6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29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9.7109375" style="1" customWidth="1"/>
    <col min="3" max="3" width="15.28515625" style="1" customWidth="1"/>
    <col min="4" max="4" width="13.85546875" style="99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EMS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49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1" t="s">
        <v>22</v>
      </c>
      <c r="D6" s="42" t="s">
        <v>29</v>
      </c>
      <c r="E6" s="3"/>
      <c r="O6"/>
    </row>
    <row r="7" spans="1:17" ht="12.75" customHeight="1" x14ac:dyDescent="0.25">
      <c r="B7" s="115" t="s">
        <v>40</v>
      </c>
      <c r="D7" s="114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1" t="s">
        <v>29</v>
      </c>
      <c r="C10" s="81" t="s">
        <v>9</v>
      </c>
      <c r="D10" s="81"/>
      <c r="E10" s="82"/>
      <c r="F10" s="83" t="s">
        <v>16</v>
      </c>
      <c r="G10" s="83" t="s">
        <v>17</v>
      </c>
      <c r="H10" s="83" t="s">
        <v>18</v>
      </c>
      <c r="I10" s="83" t="s">
        <v>19</v>
      </c>
      <c r="J10" s="83" t="s">
        <v>20</v>
      </c>
      <c r="O10"/>
    </row>
    <row r="11" spans="1:17" ht="12.75" customHeight="1" x14ac:dyDescent="0.25">
      <c r="C11" s="1" t="s">
        <v>2</v>
      </c>
      <c r="D11" s="117" t="str">
        <f>B10&amp;C11</f>
        <v>Option 1Labour</v>
      </c>
      <c r="E11" s="3"/>
      <c r="F11" s="9">
        <f ca="1">SUMIF(INDIRECT(LEFT($D11,6)&amp;MID($D11,8,1)&amp;"_categories"),$C11,INDEX(INDIRECT(LEFT($D11,6)&amp;MID($D11,8,1)&amp;"_costs"),,MATCH(F$10,years,0)))*Conv_2021</f>
        <v>3021842.1271249931</v>
      </c>
      <c r="G11" s="9">
        <f t="shared" ref="F11:J13" ca="1" si="0">SUMIF(INDIRECT(LEFT($D11,6)&amp;MID($D11,8,1)&amp;"_categories"),$C11,INDEX(INDIRECT(LEFT($D11,6)&amp;MID($D11,8,1)&amp;"_costs"),,MATCH(G$10,years,0)))*Conv_2021</f>
        <v>1507685.6865527267</v>
      </c>
      <c r="H11" s="9">
        <f t="shared" ca="1" si="0"/>
        <v>990413.6102307312</v>
      </c>
      <c r="I11" s="9">
        <f t="shared" ca="1" si="0"/>
        <v>2672421.4100698545</v>
      </c>
      <c r="J11" s="9">
        <f t="shared" ca="1" si="0"/>
        <v>194122.62058618799</v>
      </c>
      <c r="O11"/>
    </row>
    <row r="12" spans="1:17" ht="12.75" customHeight="1" x14ac:dyDescent="0.25">
      <c r="C12" s="1" t="s">
        <v>1</v>
      </c>
      <c r="D12" s="117" t="str">
        <f>B10&amp;C12</f>
        <v>Option 1Materials</v>
      </c>
      <c r="E12" s="3"/>
      <c r="F12" s="9">
        <f t="shared" ca="1" si="0"/>
        <v>344189.04359253187</v>
      </c>
      <c r="G12" s="9">
        <f t="shared" ca="1" si="0"/>
        <v>275351.23487402551</v>
      </c>
      <c r="H12" s="9">
        <f t="shared" ca="1" si="0"/>
        <v>529521.6055269721</v>
      </c>
      <c r="I12" s="9">
        <f t="shared" ca="1" si="0"/>
        <v>487159.87708481436</v>
      </c>
      <c r="J12" s="9">
        <f t="shared" ca="1" si="0"/>
        <v>79428.240829045826</v>
      </c>
      <c r="O12"/>
    </row>
    <row r="13" spans="1:17" ht="12.75" customHeight="1" x14ac:dyDescent="0.2">
      <c r="C13" s="1" t="s">
        <v>4</v>
      </c>
      <c r="D13" s="117" t="str">
        <f>B10&amp;C13</f>
        <v>Option 1Contracts</v>
      </c>
      <c r="F13" s="9">
        <f t="shared" ca="1" si="0"/>
        <v>1411187.7872479134</v>
      </c>
      <c r="G13" s="9">
        <f t="shared" ca="1" si="0"/>
        <v>1059043.2110539442</v>
      </c>
      <c r="H13" s="9">
        <f t="shared" ca="1" si="0"/>
        <v>513635.95736116299</v>
      </c>
      <c r="I13" s="9">
        <f t="shared" ca="1" si="0"/>
        <v>1638075.0866976883</v>
      </c>
      <c r="J13" s="9">
        <f t="shared" ca="1" si="0"/>
        <v>105904.32110539443</v>
      </c>
    </row>
    <row r="14" spans="1:17" ht="12.75" customHeight="1" x14ac:dyDescent="0.2">
      <c r="B14" s="99"/>
      <c r="C14" s="25" t="s">
        <v>50</v>
      </c>
      <c r="D14" s="25"/>
      <c r="E14" s="25"/>
      <c r="F14" s="26">
        <f ca="1">SUM(F11:F13)</f>
        <v>4777218.9579654383</v>
      </c>
      <c r="G14" s="26">
        <f ca="1">SUM(G11:G13)</f>
        <v>2842080.1324806963</v>
      </c>
      <c r="H14" s="26">
        <f ca="1">SUM(H11:H13)</f>
        <v>2033571.1731188665</v>
      </c>
      <c r="I14" s="26">
        <f ca="1">SUM(I11:I13)</f>
        <v>4797656.3738523573</v>
      </c>
      <c r="J14" s="26">
        <f ca="1">SUM(J11:J13)</f>
        <v>379455.18252062821</v>
      </c>
      <c r="K14" s="43"/>
      <c r="L14" s="2"/>
      <c r="M14" s="2"/>
      <c r="N14" s="2"/>
      <c r="O14" s="2"/>
      <c r="P14" s="2"/>
      <c r="Q14" s="2"/>
    </row>
    <row r="15" spans="1:17" ht="12.75" customHeight="1" x14ac:dyDescent="0.2">
      <c r="B15" s="99"/>
      <c r="C15" s="7"/>
      <c r="D15" s="7"/>
      <c r="E15" s="7"/>
      <c r="F15" s="80"/>
      <c r="G15" s="80"/>
      <c r="H15" s="80"/>
      <c r="I15" s="80"/>
      <c r="J15" s="80"/>
    </row>
    <row r="16" spans="1:17" ht="12.75" customHeight="1" x14ac:dyDescent="0.2">
      <c r="C16" s="126" t="s">
        <v>70</v>
      </c>
      <c r="D16" s="26"/>
      <c r="E16" s="26"/>
      <c r="F16" s="26">
        <f ca="1">NPV(Assumptions!$B$6,F14:J14)</f>
        <v>13851585.121979555</v>
      </c>
      <c r="G16" s="80"/>
      <c r="H16" s="80"/>
      <c r="I16" s="80"/>
      <c r="J16" s="80"/>
    </row>
    <row r="17" spans="2:12" ht="12.75" customHeight="1" x14ac:dyDescent="0.2">
      <c r="C17" s="40"/>
      <c r="D17" s="40"/>
      <c r="E17" s="7"/>
      <c r="F17" s="80"/>
      <c r="G17" s="80"/>
      <c r="H17" s="80"/>
      <c r="I17" s="80"/>
      <c r="J17" s="80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1" t="s">
        <v>21</v>
      </c>
      <c r="C19" s="81" t="s">
        <v>9</v>
      </c>
      <c r="D19" s="81"/>
      <c r="E19" s="82"/>
      <c r="F19" s="83" t="str">
        <f>F$10</f>
        <v>2021/22</v>
      </c>
      <c r="G19" s="83" t="str">
        <f t="shared" ref="G19:J19" si="1">G$10</f>
        <v>2022/23</v>
      </c>
      <c r="H19" s="83" t="str">
        <f t="shared" si="1"/>
        <v>2023/24</v>
      </c>
      <c r="I19" s="83" t="str">
        <f t="shared" si="1"/>
        <v>2024/25</v>
      </c>
      <c r="J19" s="83" t="str">
        <f t="shared" si="1"/>
        <v>2025/26</v>
      </c>
    </row>
    <row r="20" spans="2:12" ht="12.75" customHeight="1" x14ac:dyDescent="0.2">
      <c r="C20" s="1" t="s">
        <v>2</v>
      </c>
      <c r="D20" s="117" t="str">
        <f>B19&amp;C20</f>
        <v>Option 2Labour</v>
      </c>
      <c r="E20" s="3"/>
      <c r="F20" s="9">
        <f ca="1">SUMIF(INDIRECT(LEFT($D20,6)&amp;MID($D20,8,1)&amp;"_categories"),$C20,INDEX(INDIRECT(LEFT($D20,6)&amp;MID($D20,8,1)&amp;"_costs"),,MATCH(F$19,years,0)))*Conv_2021</f>
        <v>3785391.1014306657</v>
      </c>
      <c r="G20" s="9">
        <f t="shared" ref="F20:J22" ca="1" si="2">SUMIF(INDIRECT(LEFT($D20,6)&amp;MID($D20,8,1)&amp;"_categories"),$C20,INDEX(INDIRECT(LEFT($D20,6)&amp;MID($D20,8,1)&amp;"_costs"),,MATCH(G$10,years,0)))*Conv_2021</f>
        <v>2555947.8377181417</v>
      </c>
      <c r="H20" s="9">
        <f t="shared" ca="1" si="2"/>
        <v>990413.6102307312</v>
      </c>
      <c r="I20" s="9">
        <f t="shared" ca="1" si="2"/>
        <v>3733625.0692743491</v>
      </c>
      <c r="J20" s="9">
        <f t="shared" ca="1" si="2"/>
        <v>297654.68489882158</v>
      </c>
    </row>
    <row r="21" spans="2:12" x14ac:dyDescent="0.2">
      <c r="C21" s="1" t="s">
        <v>1</v>
      </c>
      <c r="D21" s="117" t="str">
        <f>B19&amp;C21</f>
        <v>Option 2Materials</v>
      </c>
      <c r="E21" s="3"/>
      <c r="F21" s="9">
        <f t="shared" ca="1" si="2"/>
        <v>344189.04359253187</v>
      </c>
      <c r="G21" s="9">
        <f t="shared" ca="1" si="2"/>
        <v>1122585.8037171809</v>
      </c>
      <c r="H21" s="9">
        <f t="shared" ca="1" si="2"/>
        <v>529521.6055269721</v>
      </c>
      <c r="I21" s="9">
        <f t="shared" ca="1" si="2"/>
        <v>1016681.4826117865</v>
      </c>
      <c r="J21" s="9">
        <f t="shared" ca="1" si="2"/>
        <v>79428.240829045826</v>
      </c>
    </row>
    <row r="22" spans="2:12" x14ac:dyDescent="0.2">
      <c r="C22" s="1" t="s">
        <v>4</v>
      </c>
      <c r="D22" s="117" t="str">
        <f>B19&amp;C22</f>
        <v>Option 2Contracts</v>
      </c>
      <c r="F22" s="9">
        <f t="shared" ca="1" si="2"/>
        <v>1411187.7872479134</v>
      </c>
      <c r="G22" s="9">
        <f t="shared" ca="1" si="2"/>
        <v>1059043.2110539442</v>
      </c>
      <c r="H22" s="9">
        <f t="shared" ca="1" si="2"/>
        <v>513635.95736116299</v>
      </c>
      <c r="I22" s="9">
        <f t="shared" ca="1" si="2"/>
        <v>1532170.7655922938</v>
      </c>
      <c r="J22" s="9">
        <f t="shared" ca="1" si="2"/>
        <v>0</v>
      </c>
    </row>
    <row r="23" spans="2:12" x14ac:dyDescent="0.2">
      <c r="B23" s="99"/>
      <c r="C23" s="25" t="s">
        <v>50</v>
      </c>
      <c r="D23" s="25"/>
      <c r="E23" s="25"/>
      <c r="F23" s="26">
        <f ca="1">SUM(F20:F22)</f>
        <v>5540767.9322711108</v>
      </c>
      <c r="G23" s="26">
        <f ca="1">SUM(G20:G22)</f>
        <v>4737576.8524892665</v>
      </c>
      <c r="H23" s="26">
        <f ca="1">SUM(H20:H22)</f>
        <v>2033571.1731188665</v>
      </c>
      <c r="I23" s="26">
        <f ca="1">SUM(I20:I22)</f>
        <v>6282477.3174784295</v>
      </c>
      <c r="J23" s="26">
        <f ca="1">SUM(J20:J22)</f>
        <v>377082.9257278674</v>
      </c>
      <c r="L23" s="2"/>
    </row>
    <row r="24" spans="2:12" x14ac:dyDescent="0.2">
      <c r="B24" s="99"/>
    </row>
    <row r="25" spans="2:12" x14ac:dyDescent="0.2">
      <c r="C25" s="126" t="s">
        <v>70</v>
      </c>
      <c r="D25" s="26"/>
      <c r="E25" s="26"/>
      <c r="F25" s="26">
        <f ca="1">NPV(Assumptions!$B$6,F23:J23)</f>
        <v>17720149.978723116</v>
      </c>
    </row>
    <row r="26" spans="2:12" x14ac:dyDescent="0.2">
      <c r="B26" s="32"/>
      <c r="C26" s="40"/>
      <c r="D26" s="40"/>
      <c r="E26" s="32"/>
      <c r="F26" s="32"/>
      <c r="G26" s="32"/>
      <c r="H26" s="32"/>
      <c r="I26" s="32"/>
      <c r="J26" s="32"/>
    </row>
    <row r="28" spans="2:12" x14ac:dyDescent="0.2">
      <c r="B28" s="99"/>
    </row>
    <row r="29" spans="2:12" x14ac:dyDescent="0.2">
      <c r="B29" s="32"/>
      <c r="C29" s="40"/>
      <c r="D29" s="40"/>
      <c r="E29" s="32"/>
      <c r="F29" s="32"/>
      <c r="G29" s="32"/>
      <c r="H29" s="32"/>
      <c r="I29" s="32"/>
      <c r="J29" s="32"/>
    </row>
  </sheetData>
  <conditionalFormatting sqref="D7">
    <cfRule type="expression" dxfId="5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51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6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6"/>
      <c r="C5" s="33"/>
      <c r="D5" s="33"/>
    </row>
    <row r="6" spans="1:35" s="34" customFormat="1" ht="12.75" customHeight="1" x14ac:dyDescent="0.25">
      <c r="A6" s="2" t="s">
        <v>14</v>
      </c>
      <c r="B6" s="104">
        <v>2.75E-2</v>
      </c>
      <c r="C6" s="2"/>
      <c r="D6" s="33"/>
    </row>
    <row r="7" spans="1:35" s="34" customFormat="1" ht="12.75" customHeight="1" x14ac:dyDescent="0.25">
      <c r="A7" s="33"/>
      <c r="B7" s="96"/>
      <c r="C7" s="33"/>
      <c r="D7" s="33"/>
    </row>
    <row r="8" spans="1:35" s="34" customFormat="1" ht="12.75" customHeight="1" x14ac:dyDescent="0.25">
      <c r="A8" s="98" t="s">
        <v>35</v>
      </c>
      <c r="B8" s="106">
        <v>2018</v>
      </c>
      <c r="C8" t="s">
        <v>38</v>
      </c>
      <c r="D8" s="33"/>
    </row>
    <row r="9" spans="1:35" s="34" customFormat="1" ht="12.75" customHeight="1" x14ac:dyDescent="0.25">
      <c r="A9" s="98"/>
      <c r="B9" s="98"/>
      <c r="C9" s="98"/>
      <c r="D9" s="98"/>
      <c r="E9" s="98"/>
    </row>
    <row r="10" spans="1:35" ht="12.75" customHeight="1" x14ac:dyDescent="0.25">
      <c r="A10" s="84"/>
      <c r="B10" s="84"/>
      <c r="C10" s="84"/>
      <c r="D10" s="84">
        <v>2015</v>
      </c>
      <c r="E10" s="84">
        <v>2016</v>
      </c>
      <c r="F10" s="84">
        <v>2017</v>
      </c>
      <c r="G10" s="84">
        <v>2018</v>
      </c>
      <c r="H10" s="84">
        <v>2019</v>
      </c>
      <c r="I10" s="85">
        <v>2020</v>
      </c>
      <c r="J10" s="85" t="s">
        <v>36</v>
      </c>
    </row>
    <row r="11" spans="1:35" ht="12.75" customHeight="1" x14ac:dyDescent="0.25">
      <c r="A11" s="129" t="s">
        <v>71</v>
      </c>
      <c r="B11" s="28"/>
      <c r="C11" s="102"/>
      <c r="D11" s="130" t="s">
        <v>74</v>
      </c>
      <c r="E11" s="130" t="s">
        <v>74</v>
      </c>
      <c r="F11" s="130" t="s">
        <v>74</v>
      </c>
      <c r="G11" s="130" t="s">
        <v>74</v>
      </c>
      <c r="H11" s="130" t="s">
        <v>74</v>
      </c>
      <c r="I11" s="130" t="s">
        <v>74</v>
      </c>
      <c r="J11" s="130" t="s">
        <v>75</v>
      </c>
    </row>
    <row r="12" spans="1:35" ht="12.75" customHeight="1" x14ac:dyDescent="0.25">
      <c r="A12" s="131" t="s">
        <v>72</v>
      </c>
      <c r="B12" s="4"/>
      <c r="C12" s="131"/>
      <c r="D12" s="132" t="s">
        <v>30</v>
      </c>
      <c r="E12" s="132" t="s">
        <v>30</v>
      </c>
      <c r="F12" s="132" t="s">
        <v>30</v>
      </c>
      <c r="G12" s="132" t="s">
        <v>30</v>
      </c>
      <c r="H12" s="132" t="s">
        <v>30</v>
      </c>
      <c r="I12" s="133" t="s">
        <v>31</v>
      </c>
      <c r="J12" s="133" t="s">
        <v>31</v>
      </c>
    </row>
    <row r="13" spans="1:35" ht="12.75" customHeight="1" x14ac:dyDescent="0.25">
      <c r="A13" s="99" t="s">
        <v>73</v>
      </c>
      <c r="B13" s="99"/>
      <c r="C13" s="86"/>
      <c r="D13" s="87"/>
      <c r="E13" s="104">
        <v>1.0232558139534831E-2</v>
      </c>
      <c r="F13" s="104">
        <v>1.9337016574585641E-2</v>
      </c>
      <c r="G13" s="104">
        <v>2.0776874435411097E-2</v>
      </c>
      <c r="H13" s="104">
        <v>1.5929203539823078E-2</v>
      </c>
      <c r="I13" s="104">
        <v>2.000000000000024E-2</v>
      </c>
      <c r="J13" s="104">
        <v>2.1998043050963867E-2</v>
      </c>
    </row>
    <row r="14" spans="1:35" ht="12.75" customHeight="1" x14ac:dyDescent="0.25">
      <c r="A14" s="93" t="s">
        <v>32</v>
      </c>
      <c r="B14" s="91"/>
      <c r="C14" s="91"/>
      <c r="D14" s="105">
        <v>1</v>
      </c>
      <c r="E14" s="94">
        <f t="shared" ref="E14:J14" si="0">D14*(1+E13)</f>
        <v>1.0102325581395348</v>
      </c>
      <c r="F14" s="94">
        <f t="shared" si="0"/>
        <v>1.029767441860465</v>
      </c>
      <c r="G14" s="94">
        <f t="shared" si="0"/>
        <v>1.0511627906976744</v>
      </c>
      <c r="H14" s="94">
        <f t="shared" si="0"/>
        <v>1.067906976744186</v>
      </c>
      <c r="I14" s="94">
        <f t="shared" si="0"/>
        <v>1.0892651162790701</v>
      </c>
      <c r="J14" s="94">
        <f t="shared" si="0"/>
        <v>1.1132268172008901</v>
      </c>
    </row>
    <row r="15" spans="1:35" ht="12.75" customHeight="1" x14ac:dyDescent="0.25">
      <c r="A15" s="91"/>
      <c r="B15" s="91"/>
      <c r="C15" s="91"/>
      <c r="D15" s="92"/>
      <c r="E15" s="92"/>
      <c r="F15" s="92"/>
      <c r="G15" s="92"/>
      <c r="H15" s="92"/>
    </row>
    <row r="16" spans="1:35" ht="12.75" customHeight="1" x14ac:dyDescent="0.25">
      <c r="A16" s="98" t="s">
        <v>37</v>
      </c>
      <c r="B16" s="97">
        <f>B8</f>
        <v>2018</v>
      </c>
      <c r="C16" s="99" t="s">
        <v>38</v>
      </c>
      <c r="G16" s="88"/>
      <c r="H16" s="88"/>
    </row>
    <row r="17" spans="1:8" ht="12.75" customHeight="1" x14ac:dyDescent="0.25">
      <c r="A17" s="98" t="s">
        <v>34</v>
      </c>
      <c r="B17" s="103" t="s">
        <v>36</v>
      </c>
      <c r="C17" s="99" t="s">
        <v>39</v>
      </c>
      <c r="G17" s="88"/>
      <c r="H17" s="88"/>
    </row>
    <row r="18" spans="1:8" ht="12.75" customHeight="1" x14ac:dyDescent="0.25">
      <c r="A18" s="98" t="s">
        <v>33</v>
      </c>
      <c r="B18" s="95">
        <f>INDEX($D$14:$J$14, MATCH(B17, $D$10:$J$10,0))/INDEX($D$14:$J$14, MATCH(B16, $D$10:$J$10,0))</f>
        <v>1.0590432110539443</v>
      </c>
      <c r="C18" s="113"/>
      <c r="D18" s="89"/>
      <c r="E18" s="86"/>
      <c r="F18" s="86"/>
      <c r="G18" s="86"/>
      <c r="H18" s="86"/>
    </row>
    <row r="19" spans="1:8" ht="12.75" customHeight="1" x14ac:dyDescent="0.25">
      <c r="A19" s="88"/>
      <c r="B19" s="90"/>
      <c r="C19" s="90"/>
      <c r="D19" s="90"/>
      <c r="E19" s="90"/>
      <c r="F19" s="90"/>
      <c r="G19" s="90"/>
      <c r="H19" s="88"/>
    </row>
    <row r="20" spans="1:8" ht="12.75" customHeight="1" x14ac:dyDescent="0.25"/>
    <row r="21" spans="1:8" ht="12.75" customHeight="1" x14ac:dyDescent="0.25"/>
    <row r="22" spans="1:8" ht="12.75" customHeight="1" x14ac:dyDescent="0.25">
      <c r="A22" s="125" t="s">
        <v>65</v>
      </c>
    </row>
    <row r="23" spans="1:8" ht="12.75" customHeight="1" x14ac:dyDescent="0.25">
      <c r="A23" s="98" t="str">
        <f>'Option 1'!$A$3</f>
        <v>Option 1</v>
      </c>
    </row>
    <row r="24" spans="1:8" ht="12.75" customHeight="1" x14ac:dyDescent="0.25">
      <c r="A24" s="98" t="str">
        <f>'Option 2'!$A$3</f>
        <v>Option 2</v>
      </c>
    </row>
    <row r="25" spans="1:8" ht="12.75" customHeight="1" x14ac:dyDescent="0.25">
      <c r="A25" s="98"/>
    </row>
    <row r="26" spans="1:8" ht="12.75" customHeight="1" x14ac:dyDescent="0.25">
      <c r="A26" s="98"/>
    </row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57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59.5703125" style="1" bestFit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24" width="11" style="1" bestFit="1" customWidth="1"/>
    <col min="25" max="25" width="12.140625" style="1" bestFit="1" customWidth="1"/>
    <col min="26" max="26" width="11" style="1" bestFit="1" customWidth="1"/>
    <col min="27" max="16384" width="9.140625" style="1"/>
  </cols>
  <sheetData>
    <row r="1" spans="1:25" ht="21" x14ac:dyDescent="0.35">
      <c r="A1" s="18" t="str">
        <f>Assumptions!A1</f>
        <v>EMS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29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6" t="b">
        <f>SUM(V7:V50)=0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99"/>
      <c r="C7" s="118" t="s">
        <v>46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I7" s="99"/>
      <c r="J7" s="23" t="s">
        <v>45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s="99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19" t="s">
        <v>16</v>
      </c>
      <c r="K8" s="119" t="s">
        <v>17</v>
      </c>
      <c r="L8" s="119" t="s">
        <v>18</v>
      </c>
      <c r="M8" s="119" t="s">
        <v>19</v>
      </c>
      <c r="N8" s="119" t="s">
        <v>20</v>
      </c>
      <c r="O8" s="4"/>
      <c r="P8" s="119" t="s">
        <v>16</v>
      </c>
      <c r="Q8" s="119" t="s">
        <v>17</v>
      </c>
      <c r="R8" s="119" t="s">
        <v>18</v>
      </c>
      <c r="S8" s="119" t="s">
        <v>19</v>
      </c>
      <c r="T8" s="119" t="s">
        <v>20</v>
      </c>
    </row>
    <row r="9" spans="1:25" ht="12.75" customHeight="1" x14ac:dyDescent="0.2">
      <c r="A9" s="99"/>
      <c r="B9" s="99"/>
      <c r="C9" s="4"/>
      <c r="D9" s="4"/>
      <c r="E9" s="4"/>
      <c r="F9" s="20"/>
      <c r="G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</row>
    <row r="10" spans="1:25" ht="12.75" customHeight="1" x14ac:dyDescent="0.2">
      <c r="A10" s="7"/>
      <c r="C10" s="107" t="s">
        <v>52</v>
      </c>
      <c r="D10" s="108" t="s">
        <v>5</v>
      </c>
      <c r="E10" s="109" t="s">
        <v>2</v>
      </c>
      <c r="F10" s="3"/>
      <c r="G10" s="110">
        <v>122.2</v>
      </c>
      <c r="H10" s="12" t="s">
        <v>42</v>
      </c>
      <c r="I10" s="3"/>
      <c r="J10" s="111"/>
      <c r="K10" s="111">
        <v>1250</v>
      </c>
      <c r="L10" s="111"/>
      <c r="M10" s="111">
        <v>1100</v>
      </c>
      <c r="N10" s="111"/>
      <c r="O10" s="3"/>
      <c r="P10" s="8">
        <f t="shared" ref="P10:P14" si="0">J10*$G10</f>
        <v>0</v>
      </c>
      <c r="Q10" s="8">
        <f t="shared" ref="Q10:Q14" si="1">K10*$G10</f>
        <v>152750</v>
      </c>
      <c r="R10" s="8">
        <f t="shared" ref="R10:R14" si="2">L10*$G10</f>
        <v>0</v>
      </c>
      <c r="S10" s="8">
        <f t="shared" ref="S10:S14" si="3">M10*$G10</f>
        <v>134420</v>
      </c>
      <c r="T10" s="8">
        <f t="shared" ref="T10:T14" si="4">N10*$G10</f>
        <v>0</v>
      </c>
    </row>
    <row r="11" spans="1:25" ht="12.75" customHeight="1" x14ac:dyDescent="0.2">
      <c r="A11" s="7"/>
      <c r="C11" s="107" t="s">
        <v>53</v>
      </c>
      <c r="D11" s="108" t="s">
        <v>5</v>
      </c>
      <c r="E11" s="109" t="s">
        <v>2</v>
      </c>
      <c r="F11" s="3"/>
      <c r="G11" s="110">
        <v>122.2</v>
      </c>
      <c r="H11" s="12" t="s">
        <v>42</v>
      </c>
      <c r="I11" s="3"/>
      <c r="J11" s="112"/>
      <c r="K11" s="112"/>
      <c r="L11" s="112">
        <v>150</v>
      </c>
      <c r="M11" s="112"/>
      <c r="N11" s="112"/>
      <c r="O11" s="3"/>
      <c r="P11" s="8">
        <f t="shared" si="0"/>
        <v>0</v>
      </c>
      <c r="Q11" s="8">
        <f t="shared" si="1"/>
        <v>0</v>
      </c>
      <c r="R11" s="8">
        <f t="shared" si="2"/>
        <v>18330</v>
      </c>
      <c r="S11" s="8">
        <f t="shared" si="3"/>
        <v>0</v>
      </c>
      <c r="T11" s="8">
        <f t="shared" si="4"/>
        <v>0</v>
      </c>
    </row>
    <row r="12" spans="1:25" ht="12.75" customHeight="1" x14ac:dyDescent="0.2">
      <c r="A12" s="7"/>
      <c r="C12" s="107" t="s">
        <v>54</v>
      </c>
      <c r="D12" s="108" t="s">
        <v>5</v>
      </c>
      <c r="E12" s="109" t="s">
        <v>2</v>
      </c>
      <c r="F12" s="3"/>
      <c r="G12" s="110">
        <v>122.2</v>
      </c>
      <c r="H12" s="12" t="s">
        <v>42</v>
      </c>
      <c r="I12" s="3"/>
      <c r="J12" s="112"/>
      <c r="K12" s="112">
        <v>800</v>
      </c>
      <c r="L12" s="112"/>
      <c r="M12" s="112">
        <v>800</v>
      </c>
      <c r="N12" s="112"/>
      <c r="O12" s="3"/>
      <c r="P12" s="8">
        <f t="shared" si="0"/>
        <v>0</v>
      </c>
      <c r="Q12" s="8">
        <f t="shared" si="1"/>
        <v>97760</v>
      </c>
      <c r="R12" s="8">
        <f t="shared" si="2"/>
        <v>0</v>
      </c>
      <c r="S12" s="8">
        <f t="shared" si="3"/>
        <v>97760</v>
      </c>
      <c r="T12" s="8">
        <f t="shared" si="4"/>
        <v>0</v>
      </c>
    </row>
    <row r="13" spans="1:25" ht="12.75" customHeight="1" x14ac:dyDescent="0.25">
      <c r="A13" s="7"/>
      <c r="C13" s="107" t="s">
        <v>55</v>
      </c>
      <c r="D13" s="108" t="s">
        <v>5</v>
      </c>
      <c r="E13" s="109" t="s">
        <v>2</v>
      </c>
      <c r="F13" s="3"/>
      <c r="G13" s="110">
        <v>122.2</v>
      </c>
      <c r="H13" s="12" t="s">
        <v>42</v>
      </c>
      <c r="I13" s="3"/>
      <c r="J13" s="112"/>
      <c r="K13" s="112"/>
      <c r="L13" s="112">
        <v>200</v>
      </c>
      <c r="M13" s="112"/>
      <c r="N13" s="112"/>
      <c r="O13" s="3"/>
      <c r="P13" s="8">
        <f t="shared" si="0"/>
        <v>0</v>
      </c>
      <c r="Q13" s="8">
        <f t="shared" si="1"/>
        <v>0</v>
      </c>
      <c r="R13" s="8">
        <f t="shared" si="2"/>
        <v>24440</v>
      </c>
      <c r="S13" s="8">
        <f t="shared" si="3"/>
        <v>0</v>
      </c>
      <c r="T13" s="8">
        <f t="shared" si="4"/>
        <v>0</v>
      </c>
      <c r="Y13"/>
    </row>
    <row r="14" spans="1:25" ht="12.75" customHeight="1" x14ac:dyDescent="0.25">
      <c r="A14" s="7"/>
      <c r="C14" s="107" t="s">
        <v>56</v>
      </c>
      <c r="D14" s="108" t="s">
        <v>5</v>
      </c>
      <c r="E14" s="109" t="s">
        <v>2</v>
      </c>
      <c r="F14" s="3"/>
      <c r="G14" s="110">
        <v>122.2</v>
      </c>
      <c r="H14" s="12" t="s">
        <v>42</v>
      </c>
      <c r="I14" s="3"/>
      <c r="J14" s="112"/>
      <c r="K14" s="112"/>
      <c r="L14" s="112">
        <v>1300</v>
      </c>
      <c r="M14" s="112"/>
      <c r="N14" s="112"/>
      <c r="O14" s="3"/>
      <c r="P14" s="8">
        <f t="shared" si="0"/>
        <v>0</v>
      </c>
      <c r="Q14" s="8">
        <f t="shared" si="1"/>
        <v>0</v>
      </c>
      <c r="R14" s="8">
        <f t="shared" si="2"/>
        <v>158860</v>
      </c>
      <c r="S14" s="8">
        <f t="shared" si="3"/>
        <v>0</v>
      </c>
      <c r="T14" s="8">
        <f t="shared" si="4"/>
        <v>0</v>
      </c>
      <c r="Y14"/>
    </row>
    <row r="15" spans="1:25" s="99" customFormat="1" ht="12.75" customHeight="1" x14ac:dyDescent="0.25">
      <c r="A15" s="7"/>
      <c r="C15" s="107" t="s">
        <v>57</v>
      </c>
      <c r="D15" s="108" t="s">
        <v>5</v>
      </c>
      <c r="E15" s="109" t="s">
        <v>2</v>
      </c>
      <c r="F15" s="3"/>
      <c r="G15" s="110">
        <v>122.2</v>
      </c>
      <c r="H15" s="12" t="s">
        <v>42</v>
      </c>
      <c r="I15" s="3"/>
      <c r="J15" s="112">
        <v>6100</v>
      </c>
      <c r="K15" s="112">
        <v>6100</v>
      </c>
      <c r="L15" s="112"/>
      <c r="M15" s="112"/>
      <c r="N15" s="112"/>
      <c r="O15" s="3"/>
      <c r="P15" s="8">
        <f t="shared" ref="P15:P21" si="5">J15*$G15</f>
        <v>745420</v>
      </c>
      <c r="Q15" s="8">
        <f t="shared" ref="Q15:Q21" si="6">K15*$G15</f>
        <v>745420</v>
      </c>
      <c r="R15" s="8">
        <f t="shared" ref="R15:R21" si="7">L15*$G15</f>
        <v>0</v>
      </c>
      <c r="S15" s="8">
        <f t="shared" ref="S15:S21" si="8">M15*$G15</f>
        <v>0</v>
      </c>
      <c r="T15" s="8">
        <f t="shared" ref="T15:T21" si="9">N15*$G15</f>
        <v>0</v>
      </c>
      <c r="Y15"/>
    </row>
    <row r="16" spans="1:25" s="99" customFormat="1" ht="12.75" customHeight="1" x14ac:dyDescent="0.25">
      <c r="A16" s="7"/>
      <c r="C16" s="107" t="s">
        <v>58</v>
      </c>
      <c r="D16" s="108" t="s">
        <v>5</v>
      </c>
      <c r="E16" s="109" t="s">
        <v>2</v>
      </c>
      <c r="F16" s="3"/>
      <c r="G16" s="110">
        <v>122.2</v>
      </c>
      <c r="H16" s="12" t="s">
        <v>42</v>
      </c>
      <c r="I16" s="3"/>
      <c r="J16" s="112">
        <v>3500</v>
      </c>
      <c r="K16" s="112">
        <v>3500</v>
      </c>
      <c r="L16" s="112">
        <v>6003.0000000000009</v>
      </c>
      <c r="M16" s="112">
        <v>11000</v>
      </c>
      <c r="N16" s="112"/>
      <c r="O16" s="3"/>
      <c r="P16" s="8">
        <f t="shared" si="5"/>
        <v>427700</v>
      </c>
      <c r="Q16" s="8">
        <f t="shared" si="6"/>
        <v>427700</v>
      </c>
      <c r="R16" s="8">
        <f t="shared" si="7"/>
        <v>733566.60000000009</v>
      </c>
      <c r="S16" s="8">
        <f t="shared" si="8"/>
        <v>1344200</v>
      </c>
      <c r="T16" s="8">
        <f t="shared" si="9"/>
        <v>0</v>
      </c>
      <c r="Y16"/>
    </row>
    <row r="17" spans="1:26" s="99" customFormat="1" ht="12.75" customHeight="1" x14ac:dyDescent="0.25">
      <c r="A17" s="7"/>
      <c r="C17" s="107" t="s">
        <v>59</v>
      </c>
      <c r="D17" s="108" t="s">
        <v>5</v>
      </c>
      <c r="E17" s="109" t="s">
        <v>2</v>
      </c>
      <c r="F17" s="3"/>
      <c r="G17" s="110">
        <v>122.2</v>
      </c>
      <c r="H17" s="12" t="s">
        <v>42</v>
      </c>
      <c r="I17" s="3"/>
      <c r="J17" s="112">
        <v>1250</v>
      </c>
      <c r="K17" s="112"/>
      <c r="L17" s="112"/>
      <c r="M17" s="112">
        <v>1500</v>
      </c>
      <c r="N17" s="112"/>
      <c r="O17" s="3"/>
      <c r="P17" s="8">
        <f t="shared" si="5"/>
        <v>152750</v>
      </c>
      <c r="Q17" s="8">
        <f t="shared" si="6"/>
        <v>0</v>
      </c>
      <c r="R17" s="8">
        <f t="shared" si="7"/>
        <v>0</v>
      </c>
      <c r="S17" s="8">
        <f t="shared" si="8"/>
        <v>183300</v>
      </c>
      <c r="T17" s="8">
        <f t="shared" si="9"/>
        <v>0</v>
      </c>
      <c r="Y17"/>
    </row>
    <row r="18" spans="1:26" s="99" customFormat="1" ht="12.75" customHeight="1" x14ac:dyDescent="0.25">
      <c r="A18" s="7"/>
      <c r="C18" s="107" t="s">
        <v>60</v>
      </c>
      <c r="D18" s="108" t="s">
        <v>5</v>
      </c>
      <c r="E18" s="109" t="s">
        <v>2</v>
      </c>
      <c r="F18" s="3"/>
      <c r="G18" s="110">
        <v>122.2</v>
      </c>
      <c r="H18" s="12" t="s">
        <v>42</v>
      </c>
      <c r="I18" s="3"/>
      <c r="J18" s="112">
        <v>1500</v>
      </c>
      <c r="K18" s="112"/>
      <c r="L18" s="112"/>
      <c r="M18" s="112"/>
      <c r="N18" s="112">
        <v>1500</v>
      </c>
      <c r="O18" s="3"/>
      <c r="P18" s="8">
        <f t="shared" si="5"/>
        <v>183300</v>
      </c>
      <c r="Q18" s="8">
        <f t="shared" si="6"/>
        <v>0</v>
      </c>
      <c r="R18" s="8">
        <f t="shared" si="7"/>
        <v>0</v>
      </c>
      <c r="S18" s="8">
        <f t="shared" si="8"/>
        <v>0</v>
      </c>
      <c r="T18" s="8">
        <f t="shared" si="9"/>
        <v>183300</v>
      </c>
      <c r="Y18"/>
    </row>
    <row r="19" spans="1:26" s="99" customFormat="1" ht="12.75" customHeight="1" x14ac:dyDescent="0.25">
      <c r="A19" s="7"/>
      <c r="C19" s="107" t="s">
        <v>61</v>
      </c>
      <c r="D19" s="108" t="s">
        <v>5</v>
      </c>
      <c r="E19" s="109" t="s">
        <v>2</v>
      </c>
      <c r="F19" s="3"/>
      <c r="G19" s="110">
        <v>122.2</v>
      </c>
      <c r="H19" s="12" t="s">
        <v>42</v>
      </c>
      <c r="I19" s="3"/>
      <c r="J19" s="112">
        <v>2500</v>
      </c>
      <c r="K19" s="112"/>
      <c r="L19" s="112"/>
      <c r="M19" s="112">
        <v>2250</v>
      </c>
      <c r="N19" s="112"/>
      <c r="O19" s="3"/>
      <c r="P19" s="8">
        <f t="shared" si="5"/>
        <v>305500</v>
      </c>
      <c r="Q19" s="8">
        <f t="shared" si="6"/>
        <v>0</v>
      </c>
      <c r="R19" s="8">
        <f t="shared" si="7"/>
        <v>0</v>
      </c>
      <c r="S19" s="8">
        <f t="shared" si="8"/>
        <v>274950</v>
      </c>
      <c r="T19" s="8">
        <f t="shared" si="9"/>
        <v>0</v>
      </c>
      <c r="Y19"/>
    </row>
    <row r="20" spans="1:26" s="99" customFormat="1" ht="12.75" customHeight="1" x14ac:dyDescent="0.25">
      <c r="A20" s="7"/>
      <c r="C20" s="107" t="s">
        <v>62</v>
      </c>
      <c r="D20" s="108" t="s">
        <v>5</v>
      </c>
      <c r="E20" s="109" t="s">
        <v>2</v>
      </c>
      <c r="F20" s="3"/>
      <c r="G20" s="110">
        <v>122.2</v>
      </c>
      <c r="H20" s="12" t="s">
        <v>42</v>
      </c>
      <c r="I20" s="3"/>
      <c r="J20" s="112">
        <v>8500</v>
      </c>
      <c r="K20" s="112"/>
      <c r="L20" s="112"/>
      <c r="M20" s="112">
        <v>4000</v>
      </c>
      <c r="N20" s="112"/>
      <c r="O20" s="3"/>
      <c r="P20" s="8">
        <f t="shared" si="5"/>
        <v>1038700</v>
      </c>
      <c r="Q20" s="8">
        <f t="shared" si="6"/>
        <v>0</v>
      </c>
      <c r="R20" s="8">
        <f t="shared" si="7"/>
        <v>0</v>
      </c>
      <c r="S20" s="8">
        <f t="shared" si="8"/>
        <v>488800</v>
      </c>
      <c r="T20" s="8">
        <f t="shared" si="9"/>
        <v>0</v>
      </c>
      <c r="Y20"/>
    </row>
    <row r="21" spans="1:26" s="99" customFormat="1" ht="12.75" customHeight="1" x14ac:dyDescent="0.25">
      <c r="A21" s="7"/>
      <c r="C21" s="107"/>
      <c r="D21" s="108"/>
      <c r="E21" s="109"/>
      <c r="F21" s="3"/>
      <c r="G21" s="110"/>
      <c r="H21" s="12" t="s">
        <v>42</v>
      </c>
      <c r="I21" s="3"/>
      <c r="J21" s="112"/>
      <c r="K21" s="112"/>
      <c r="L21" s="112"/>
      <c r="M21" s="112"/>
      <c r="N21" s="112"/>
      <c r="O21" s="3"/>
      <c r="P21" s="8">
        <f t="shared" si="5"/>
        <v>0</v>
      </c>
      <c r="Q21" s="8">
        <f t="shared" si="6"/>
        <v>0</v>
      </c>
      <c r="R21" s="8">
        <f t="shared" si="7"/>
        <v>0</v>
      </c>
      <c r="S21" s="8">
        <f t="shared" si="8"/>
        <v>0</v>
      </c>
      <c r="T21" s="8">
        <f t="shared" si="9"/>
        <v>0</v>
      </c>
      <c r="Y21"/>
    </row>
    <row r="22" spans="1:26" ht="12.75" customHeight="1" x14ac:dyDescent="0.25">
      <c r="A22" s="7"/>
      <c r="C22" s="99"/>
      <c r="D22" s="99"/>
      <c r="E22" s="99"/>
      <c r="F22" s="3"/>
      <c r="G22" s="99"/>
      <c r="I22" s="3"/>
      <c r="J22" s="99"/>
      <c r="K22" s="99"/>
      <c r="L22" s="99"/>
      <c r="M22" s="99"/>
      <c r="N22" s="99"/>
      <c r="O22" s="3"/>
      <c r="Y22"/>
    </row>
    <row r="23" spans="1:26" ht="12.75" customHeight="1" x14ac:dyDescent="0.25">
      <c r="A23" s="7"/>
      <c r="C23" s="99"/>
      <c r="D23" s="99"/>
      <c r="E23" s="99"/>
      <c r="F23" s="3"/>
      <c r="G23" s="99"/>
      <c r="I23" s="3"/>
      <c r="J23" s="99"/>
      <c r="K23" s="99"/>
      <c r="L23" s="99"/>
      <c r="M23" s="99"/>
      <c r="N23" s="99"/>
      <c r="O23" s="3"/>
      <c r="Y23"/>
    </row>
    <row r="24" spans="1:26" ht="12.75" customHeight="1" x14ac:dyDescent="0.25">
      <c r="A24" s="7"/>
      <c r="C24" s="107" t="s">
        <v>54</v>
      </c>
      <c r="D24" s="108" t="s">
        <v>5</v>
      </c>
      <c r="E24" s="109" t="s">
        <v>1</v>
      </c>
      <c r="F24" s="3"/>
      <c r="G24" s="121">
        <v>85000</v>
      </c>
      <c r="H24" s="12" t="s">
        <v>43</v>
      </c>
      <c r="I24" s="3"/>
      <c r="J24" s="120"/>
      <c r="K24" s="120">
        <v>1</v>
      </c>
      <c r="L24" s="120"/>
      <c r="M24" s="120">
        <v>1</v>
      </c>
      <c r="N24" s="120"/>
      <c r="O24" s="3"/>
      <c r="P24" s="8">
        <f t="shared" ref="P24" si="10">J24*$G24</f>
        <v>0</v>
      </c>
      <c r="Q24" s="8">
        <f t="shared" ref="Q24" si="11">K24*$G24</f>
        <v>85000</v>
      </c>
      <c r="R24" s="8">
        <f t="shared" ref="R24" si="12">L24*$G24</f>
        <v>0</v>
      </c>
      <c r="S24" s="8">
        <f t="shared" ref="S24" si="13">M24*$G24</f>
        <v>85000</v>
      </c>
      <c r="T24" s="8">
        <f t="shared" ref="T24" si="14">N24*$G24</f>
        <v>0</v>
      </c>
      <c r="V24" s="122"/>
      <c r="W24" s="122"/>
      <c r="X24" s="122"/>
      <c r="Y24" s="123"/>
      <c r="Z24" s="122"/>
    </row>
    <row r="25" spans="1:26" s="99" customFormat="1" ht="12.75" customHeight="1" x14ac:dyDescent="0.25">
      <c r="A25" s="7"/>
      <c r="C25" s="107" t="s">
        <v>56</v>
      </c>
      <c r="D25" s="108" t="s">
        <v>5</v>
      </c>
      <c r="E25" s="109" t="s">
        <v>1</v>
      </c>
      <c r="F25" s="3"/>
      <c r="G25" s="121">
        <v>200000</v>
      </c>
      <c r="H25" s="12" t="s">
        <v>43</v>
      </c>
      <c r="I25" s="3"/>
      <c r="J25" s="120"/>
      <c r="K25" s="120"/>
      <c r="L25" s="120">
        <v>1</v>
      </c>
      <c r="M25" s="120"/>
      <c r="N25" s="120"/>
      <c r="O25" s="3"/>
      <c r="P25" s="8">
        <f t="shared" ref="P25:P26" si="15">J25*$G25</f>
        <v>0</v>
      </c>
      <c r="Q25" s="8">
        <f t="shared" ref="Q25:Q26" si="16">K25*$G25</f>
        <v>0</v>
      </c>
      <c r="R25" s="8">
        <f t="shared" ref="R25:R26" si="17">L25*$G25</f>
        <v>200000</v>
      </c>
      <c r="S25" s="8">
        <f t="shared" ref="S25:S26" si="18">M25*$G25</f>
        <v>0</v>
      </c>
      <c r="T25" s="8">
        <f t="shared" ref="T25:T26" si="19">N25*$G25</f>
        <v>0</v>
      </c>
      <c r="V25" s="122"/>
      <c r="W25" s="122"/>
      <c r="X25" s="122"/>
      <c r="Y25" s="123"/>
      <c r="Z25" s="122"/>
    </row>
    <row r="26" spans="1:26" s="99" customFormat="1" ht="12.75" customHeight="1" x14ac:dyDescent="0.25">
      <c r="A26" s="7"/>
      <c r="C26" s="107" t="s">
        <v>63</v>
      </c>
      <c r="D26" s="108" t="s">
        <v>5</v>
      </c>
      <c r="E26" s="109" t="s">
        <v>1</v>
      </c>
      <c r="F26" s="3"/>
      <c r="G26" s="121">
        <v>175000</v>
      </c>
      <c r="H26" s="12" t="s">
        <v>43</v>
      </c>
      <c r="I26" s="3"/>
      <c r="J26" s="120">
        <v>1</v>
      </c>
      <c r="K26" s="120">
        <v>1</v>
      </c>
      <c r="L26" s="124">
        <v>1.7142857142857142</v>
      </c>
      <c r="M26" s="124">
        <v>1.7142857142857142</v>
      </c>
      <c r="N26" s="120"/>
      <c r="O26" s="3"/>
      <c r="P26" s="8">
        <f t="shared" si="15"/>
        <v>175000</v>
      </c>
      <c r="Q26" s="8">
        <f t="shared" si="16"/>
        <v>175000</v>
      </c>
      <c r="R26" s="8">
        <f t="shared" si="17"/>
        <v>300000</v>
      </c>
      <c r="S26" s="8">
        <f t="shared" si="18"/>
        <v>300000</v>
      </c>
      <c r="T26" s="8">
        <f t="shared" si="19"/>
        <v>0</v>
      </c>
      <c r="V26" s="122"/>
      <c r="W26" s="122"/>
      <c r="X26" s="122"/>
      <c r="Y26" s="123"/>
      <c r="Z26" s="122"/>
    </row>
    <row r="27" spans="1:26" s="99" customFormat="1" ht="12.75" customHeight="1" x14ac:dyDescent="0.25">
      <c r="A27" s="7"/>
      <c r="C27" s="107" t="s">
        <v>60</v>
      </c>
      <c r="D27" s="108" t="s">
        <v>5</v>
      </c>
      <c r="E27" s="109" t="s">
        <v>1</v>
      </c>
      <c r="F27" s="3"/>
      <c r="G27" s="121">
        <v>75000</v>
      </c>
      <c r="H27" s="12" t="s">
        <v>43</v>
      </c>
      <c r="I27" s="3"/>
      <c r="J27" s="120">
        <v>1</v>
      </c>
      <c r="K27" s="120"/>
      <c r="L27" s="120"/>
      <c r="M27" s="120"/>
      <c r="N27" s="120">
        <v>1</v>
      </c>
      <c r="O27" s="3"/>
      <c r="P27" s="8">
        <f t="shared" ref="P27" si="20">J27*$G27</f>
        <v>75000</v>
      </c>
      <c r="Q27" s="8">
        <f t="shared" ref="Q27" si="21">K27*$G27</f>
        <v>0</v>
      </c>
      <c r="R27" s="8">
        <f t="shared" ref="R27" si="22">L27*$G27</f>
        <v>0</v>
      </c>
      <c r="S27" s="8">
        <f t="shared" ref="S27" si="23">M27*$G27</f>
        <v>0</v>
      </c>
      <c r="T27" s="8">
        <f t="shared" ref="T27" si="24">N27*$G27</f>
        <v>75000</v>
      </c>
      <c r="V27" s="122"/>
      <c r="W27" s="122"/>
      <c r="X27" s="122"/>
      <c r="Y27" s="123"/>
      <c r="Z27" s="122"/>
    </row>
    <row r="28" spans="1:26" s="99" customFormat="1" ht="12.75" customHeight="1" x14ac:dyDescent="0.25">
      <c r="A28" s="7"/>
      <c r="C28" s="107" t="s">
        <v>61</v>
      </c>
      <c r="D28" s="108" t="s">
        <v>5</v>
      </c>
      <c r="E28" s="109" t="s">
        <v>1</v>
      </c>
      <c r="F28" s="3"/>
      <c r="G28" s="121">
        <v>75000</v>
      </c>
      <c r="H28" s="12" t="s">
        <v>43</v>
      </c>
      <c r="I28" s="3"/>
      <c r="J28" s="120">
        <v>1</v>
      </c>
      <c r="K28" s="120"/>
      <c r="L28" s="120"/>
      <c r="M28" s="120">
        <v>1</v>
      </c>
      <c r="N28" s="120"/>
      <c r="O28" s="3"/>
      <c r="P28" s="8">
        <f t="shared" ref="P28" si="25">J28*$G28</f>
        <v>75000</v>
      </c>
      <c r="Q28" s="8">
        <f t="shared" ref="Q28" si="26">K28*$G28</f>
        <v>0</v>
      </c>
      <c r="R28" s="8">
        <f t="shared" ref="R28" si="27">L28*$G28</f>
        <v>0</v>
      </c>
      <c r="S28" s="8">
        <f t="shared" ref="S28" si="28">M28*$G28</f>
        <v>75000</v>
      </c>
      <c r="T28" s="8">
        <f t="shared" ref="T28" si="29">N28*$G28</f>
        <v>0</v>
      </c>
      <c r="V28" s="122"/>
      <c r="W28" s="122"/>
      <c r="X28" s="122"/>
      <c r="Y28" s="123"/>
      <c r="Z28" s="122"/>
    </row>
    <row r="29" spans="1:26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Y29"/>
    </row>
    <row r="30" spans="1:26" ht="12.75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Y30"/>
    </row>
    <row r="31" spans="1:26" ht="12.75" customHeight="1" x14ac:dyDescent="0.2">
      <c r="A31" s="7"/>
      <c r="C31" s="107" t="s">
        <v>52</v>
      </c>
      <c r="D31" s="108" t="s">
        <v>5</v>
      </c>
      <c r="E31" s="109" t="s">
        <v>4</v>
      </c>
      <c r="F31" s="99"/>
      <c r="G31" s="6"/>
      <c r="H31" s="13" t="s">
        <v>44</v>
      </c>
      <c r="I31" s="99"/>
      <c r="J31" s="120">
        <v>500000</v>
      </c>
      <c r="K31" s="120">
        <v>500000</v>
      </c>
      <c r="L31" s="120">
        <v>0</v>
      </c>
      <c r="M31" s="120">
        <v>250000</v>
      </c>
      <c r="N31" s="120">
        <v>0</v>
      </c>
      <c r="P31" s="8">
        <f t="shared" ref="P31" si="30">J31</f>
        <v>500000</v>
      </c>
      <c r="Q31" s="8">
        <f t="shared" ref="Q31" si="31">K31</f>
        <v>500000</v>
      </c>
      <c r="R31" s="8">
        <f t="shared" ref="R31" si="32">L31</f>
        <v>0</v>
      </c>
      <c r="S31" s="8">
        <f t="shared" ref="S31" si="33">M31</f>
        <v>250000</v>
      </c>
      <c r="T31" s="8">
        <f t="shared" ref="T31" si="34">N31</f>
        <v>0</v>
      </c>
    </row>
    <row r="32" spans="1:26" s="99" customFormat="1" ht="12.75" customHeight="1" x14ac:dyDescent="0.2">
      <c r="A32" s="7"/>
      <c r="C32" s="107" t="s">
        <v>53</v>
      </c>
      <c r="D32" s="108" t="s">
        <v>5</v>
      </c>
      <c r="E32" s="109" t="s">
        <v>4</v>
      </c>
      <c r="G32" s="6"/>
      <c r="H32" s="13" t="s">
        <v>44</v>
      </c>
      <c r="J32" s="120">
        <v>0</v>
      </c>
      <c r="K32" s="120">
        <v>0</v>
      </c>
      <c r="L32" s="120">
        <v>15000</v>
      </c>
      <c r="M32" s="120">
        <v>0</v>
      </c>
      <c r="N32" s="120">
        <v>0</v>
      </c>
      <c r="P32" s="8">
        <f t="shared" ref="P32:P37" si="35">J32</f>
        <v>0</v>
      </c>
      <c r="Q32" s="8">
        <f t="shared" ref="Q32:Q37" si="36">K32</f>
        <v>0</v>
      </c>
      <c r="R32" s="8">
        <f t="shared" ref="R32:R37" si="37">L32</f>
        <v>15000</v>
      </c>
      <c r="S32" s="8">
        <f t="shared" ref="S32:S37" si="38">M32</f>
        <v>0</v>
      </c>
      <c r="T32" s="8">
        <f t="shared" ref="T32:T37" si="39">N32</f>
        <v>0</v>
      </c>
    </row>
    <row r="33" spans="1:25" s="99" customFormat="1" ht="12.75" customHeight="1" x14ac:dyDescent="0.2">
      <c r="A33" s="7"/>
      <c r="C33" s="107" t="s">
        <v>54</v>
      </c>
      <c r="D33" s="108" t="s">
        <v>5</v>
      </c>
      <c r="E33" s="109" t="s">
        <v>4</v>
      </c>
      <c r="G33" s="6"/>
      <c r="H33" s="13" t="s">
        <v>44</v>
      </c>
      <c r="J33" s="120">
        <v>0</v>
      </c>
      <c r="K33" s="120">
        <v>150000</v>
      </c>
      <c r="L33" s="120">
        <v>0</v>
      </c>
      <c r="M33" s="120">
        <v>150000</v>
      </c>
      <c r="N33" s="120">
        <v>0</v>
      </c>
      <c r="P33" s="8">
        <f t="shared" si="35"/>
        <v>0</v>
      </c>
      <c r="Q33" s="8">
        <f t="shared" si="36"/>
        <v>150000</v>
      </c>
      <c r="R33" s="8">
        <f t="shared" si="37"/>
        <v>0</v>
      </c>
      <c r="S33" s="8">
        <f t="shared" si="38"/>
        <v>150000</v>
      </c>
      <c r="T33" s="8">
        <f t="shared" si="39"/>
        <v>0</v>
      </c>
    </row>
    <row r="34" spans="1:25" s="99" customFormat="1" ht="12.75" customHeight="1" x14ac:dyDescent="0.2">
      <c r="A34" s="7"/>
      <c r="C34" s="107" t="s">
        <v>55</v>
      </c>
      <c r="D34" s="108" t="s">
        <v>5</v>
      </c>
      <c r="E34" s="109" t="s">
        <v>4</v>
      </c>
      <c r="G34" s="6"/>
      <c r="H34" s="13" t="s">
        <v>44</v>
      </c>
      <c r="J34" s="120">
        <v>0</v>
      </c>
      <c r="K34" s="120">
        <v>0</v>
      </c>
      <c r="L34" s="120">
        <v>60000</v>
      </c>
      <c r="M34" s="120">
        <v>0</v>
      </c>
      <c r="N34" s="120">
        <v>0</v>
      </c>
      <c r="P34" s="8">
        <f t="shared" si="35"/>
        <v>0</v>
      </c>
      <c r="Q34" s="8">
        <f t="shared" si="36"/>
        <v>0</v>
      </c>
      <c r="R34" s="8">
        <f t="shared" si="37"/>
        <v>60000</v>
      </c>
      <c r="S34" s="8">
        <f t="shared" si="38"/>
        <v>0</v>
      </c>
      <c r="T34" s="8">
        <f t="shared" si="39"/>
        <v>0</v>
      </c>
    </row>
    <row r="35" spans="1:25" s="99" customFormat="1" ht="12.75" customHeight="1" x14ac:dyDescent="0.2">
      <c r="A35" s="7"/>
      <c r="C35" s="107" t="s">
        <v>56</v>
      </c>
      <c r="D35" s="108" t="s">
        <v>5</v>
      </c>
      <c r="E35" s="109" t="s">
        <v>4</v>
      </c>
      <c r="G35" s="6"/>
      <c r="H35" s="13" t="s">
        <v>44</v>
      </c>
      <c r="J35" s="120">
        <v>0</v>
      </c>
      <c r="K35" s="120">
        <v>0</v>
      </c>
      <c r="L35" s="120">
        <v>160000</v>
      </c>
      <c r="M35" s="120">
        <v>75000</v>
      </c>
      <c r="N35" s="120">
        <v>0</v>
      </c>
      <c r="P35" s="8">
        <f t="shared" si="35"/>
        <v>0</v>
      </c>
      <c r="Q35" s="8">
        <f t="shared" si="36"/>
        <v>0</v>
      </c>
      <c r="R35" s="8">
        <f t="shared" si="37"/>
        <v>160000</v>
      </c>
      <c r="S35" s="8">
        <f t="shared" si="38"/>
        <v>75000</v>
      </c>
      <c r="T35" s="8">
        <f t="shared" si="39"/>
        <v>0</v>
      </c>
    </row>
    <row r="36" spans="1:25" s="99" customFormat="1" ht="12.75" customHeight="1" x14ac:dyDescent="0.2">
      <c r="A36" s="7"/>
      <c r="C36" s="107" t="s">
        <v>58</v>
      </c>
      <c r="D36" s="108" t="s">
        <v>5</v>
      </c>
      <c r="E36" s="109" t="s">
        <v>4</v>
      </c>
      <c r="G36" s="6"/>
      <c r="H36" s="13" t="s">
        <v>44</v>
      </c>
      <c r="J36" s="120">
        <v>250000</v>
      </c>
      <c r="K36" s="120">
        <v>250000</v>
      </c>
      <c r="L36" s="120">
        <v>150000</v>
      </c>
      <c r="M36" s="120">
        <v>500000</v>
      </c>
      <c r="N36" s="120">
        <v>0</v>
      </c>
      <c r="P36" s="8">
        <f t="shared" si="35"/>
        <v>250000</v>
      </c>
      <c r="Q36" s="8">
        <f t="shared" si="36"/>
        <v>250000</v>
      </c>
      <c r="R36" s="8">
        <f t="shared" si="37"/>
        <v>150000</v>
      </c>
      <c r="S36" s="8">
        <f t="shared" si="38"/>
        <v>500000</v>
      </c>
      <c r="T36" s="8">
        <f t="shared" si="39"/>
        <v>0</v>
      </c>
    </row>
    <row r="37" spans="1:25" s="99" customFormat="1" ht="12.75" customHeight="1" x14ac:dyDescent="0.2">
      <c r="A37" s="7"/>
      <c r="C37" s="107" t="s">
        <v>62</v>
      </c>
      <c r="D37" s="108" t="s">
        <v>5</v>
      </c>
      <c r="E37" s="109" t="s">
        <v>4</v>
      </c>
      <c r="G37" s="6"/>
      <c r="H37" s="13" t="s">
        <v>44</v>
      </c>
      <c r="J37" s="120">
        <v>482512</v>
      </c>
      <c r="K37" s="120">
        <v>0</v>
      </c>
      <c r="L37" s="120">
        <v>0</v>
      </c>
      <c r="M37" s="120">
        <v>471750</v>
      </c>
      <c r="N37" s="120">
        <v>0</v>
      </c>
      <c r="P37" s="8">
        <f t="shared" si="35"/>
        <v>482512</v>
      </c>
      <c r="Q37" s="8">
        <f t="shared" si="36"/>
        <v>0</v>
      </c>
      <c r="R37" s="8">
        <f t="shared" si="37"/>
        <v>0</v>
      </c>
      <c r="S37" s="8">
        <f t="shared" si="38"/>
        <v>471750</v>
      </c>
      <c r="T37" s="8">
        <f t="shared" si="39"/>
        <v>0</v>
      </c>
    </row>
    <row r="38" spans="1:25" s="99" customFormat="1" ht="12.75" customHeight="1" x14ac:dyDescent="0.2">
      <c r="A38" s="7"/>
      <c r="C38" s="107" t="s">
        <v>64</v>
      </c>
      <c r="D38" s="108" t="s">
        <v>5</v>
      </c>
      <c r="E38" s="109" t="s">
        <v>4</v>
      </c>
      <c r="G38" s="6"/>
      <c r="H38" s="13" t="s">
        <v>44</v>
      </c>
      <c r="J38" s="120">
        <v>100000</v>
      </c>
      <c r="K38" s="120">
        <v>100000</v>
      </c>
      <c r="L38" s="120">
        <v>100000</v>
      </c>
      <c r="M38" s="120">
        <v>100000</v>
      </c>
      <c r="N38" s="120">
        <v>100000</v>
      </c>
      <c r="P38" s="8">
        <f t="shared" ref="P38" si="40">J38</f>
        <v>100000</v>
      </c>
      <c r="Q38" s="8">
        <f t="shared" ref="Q38" si="41">K38</f>
        <v>100000</v>
      </c>
      <c r="R38" s="8">
        <f t="shared" ref="R38" si="42">L38</f>
        <v>100000</v>
      </c>
      <c r="S38" s="8">
        <f t="shared" ref="S38" si="43">M38</f>
        <v>100000</v>
      </c>
      <c r="T38" s="8">
        <f t="shared" ref="T38" si="44">N38</f>
        <v>100000</v>
      </c>
    </row>
    <row r="39" spans="1:25" ht="12.75" customHeight="1" x14ac:dyDescent="0.25">
      <c r="F39" s="3"/>
      <c r="I39" s="3"/>
      <c r="O39" s="3"/>
      <c r="Y39"/>
    </row>
    <row r="40" spans="1:25" ht="12.75" customHeight="1" x14ac:dyDescent="0.25">
      <c r="F40" s="3"/>
      <c r="I40" s="3"/>
      <c r="O40" s="3"/>
      <c r="Y40"/>
    </row>
    <row r="41" spans="1:25" ht="12.75" customHeight="1" x14ac:dyDescent="0.25">
      <c r="C41" s="5" t="s">
        <v>13</v>
      </c>
      <c r="F41" s="3"/>
      <c r="I41" s="3"/>
      <c r="O41" s="3"/>
      <c r="Y41"/>
    </row>
    <row r="42" spans="1:25" ht="12.75" customHeight="1" x14ac:dyDescent="0.2">
      <c r="C42" s="28" t="s">
        <v>2</v>
      </c>
      <c r="D42" s="28" t="s">
        <v>5</v>
      </c>
      <c r="E42" s="28"/>
      <c r="F42" s="3"/>
      <c r="G42" s="28"/>
      <c r="H42" s="29"/>
      <c r="I42" s="3"/>
      <c r="J42" s="28"/>
      <c r="K42" s="28"/>
      <c r="L42" s="28"/>
      <c r="M42" s="28"/>
      <c r="N42" s="28"/>
      <c r="O42" s="3"/>
      <c r="P42" s="30">
        <f t="shared" ref="P42:T47" si="45">SUMIFS(P$10:P$38,$E$10:$E$38,$C42,$D$10:$D$38,$D42)</f>
        <v>2853370</v>
      </c>
      <c r="Q42" s="30">
        <f t="shared" si="45"/>
        <v>1423630</v>
      </c>
      <c r="R42" s="30">
        <f t="shared" si="45"/>
        <v>935196.60000000009</v>
      </c>
      <c r="S42" s="30">
        <f t="shared" si="45"/>
        <v>2523430</v>
      </c>
      <c r="T42" s="30">
        <f t="shared" si="45"/>
        <v>183300</v>
      </c>
    </row>
    <row r="43" spans="1:25" ht="12.75" customHeight="1" x14ac:dyDescent="0.2">
      <c r="C43" s="4" t="s">
        <v>1</v>
      </c>
      <c r="D43" s="4" t="s">
        <v>5</v>
      </c>
      <c r="E43" s="4"/>
      <c r="F43" s="3"/>
      <c r="G43" s="4"/>
      <c r="H43" s="13"/>
      <c r="I43" s="3"/>
      <c r="J43" s="4"/>
      <c r="K43" s="4"/>
      <c r="L43" s="4"/>
      <c r="M43" s="4"/>
      <c r="N43" s="4"/>
      <c r="O43" s="3"/>
      <c r="P43" s="9">
        <f t="shared" si="45"/>
        <v>325000</v>
      </c>
      <c r="Q43" s="9">
        <f t="shared" si="45"/>
        <v>260000</v>
      </c>
      <c r="R43" s="9">
        <f t="shared" si="45"/>
        <v>500000</v>
      </c>
      <c r="S43" s="9">
        <f t="shared" si="45"/>
        <v>460000</v>
      </c>
      <c r="T43" s="9">
        <f t="shared" si="45"/>
        <v>75000</v>
      </c>
    </row>
    <row r="44" spans="1:25" ht="12.75" customHeight="1" x14ac:dyDescent="0.2">
      <c r="C44" s="4" t="s">
        <v>4</v>
      </c>
      <c r="D44" s="4" t="s">
        <v>5</v>
      </c>
      <c r="E44" s="4"/>
      <c r="F44" s="3"/>
      <c r="G44" s="4"/>
      <c r="H44" s="13"/>
      <c r="I44" s="3"/>
      <c r="J44" s="4"/>
      <c r="K44" s="4"/>
      <c r="L44" s="4"/>
      <c r="M44" s="4"/>
      <c r="N44" s="4"/>
      <c r="O44" s="3"/>
      <c r="P44" s="9">
        <f t="shared" si="45"/>
        <v>1332512</v>
      </c>
      <c r="Q44" s="9">
        <f t="shared" si="45"/>
        <v>1000000</v>
      </c>
      <c r="R44" s="9">
        <f t="shared" si="45"/>
        <v>485000</v>
      </c>
      <c r="S44" s="9">
        <f t="shared" si="45"/>
        <v>1546750</v>
      </c>
      <c r="T44" s="9">
        <f t="shared" si="45"/>
        <v>100000</v>
      </c>
    </row>
    <row r="45" spans="1:25" ht="12.75" customHeight="1" x14ac:dyDescent="0.2">
      <c r="C45" s="4" t="s">
        <v>2</v>
      </c>
      <c r="D45" s="4" t="s">
        <v>41</v>
      </c>
      <c r="E45" s="4"/>
      <c r="F45" s="3"/>
      <c r="G45" s="4"/>
      <c r="H45" s="13"/>
      <c r="I45" s="3"/>
      <c r="J45" s="4"/>
      <c r="K45" s="4"/>
      <c r="L45" s="4"/>
      <c r="M45" s="4"/>
      <c r="N45" s="4"/>
      <c r="O45" s="3"/>
      <c r="P45" s="9">
        <f t="shared" si="45"/>
        <v>0</v>
      </c>
      <c r="Q45" s="9">
        <f t="shared" si="45"/>
        <v>0</v>
      </c>
      <c r="R45" s="9">
        <f t="shared" si="45"/>
        <v>0</v>
      </c>
      <c r="S45" s="9">
        <f t="shared" si="45"/>
        <v>0</v>
      </c>
      <c r="T45" s="9">
        <f t="shared" si="45"/>
        <v>0</v>
      </c>
    </row>
    <row r="46" spans="1:25" ht="12.75" customHeight="1" x14ac:dyDescent="0.2">
      <c r="C46" s="4" t="s">
        <v>1</v>
      </c>
      <c r="D46" s="4" t="s">
        <v>41</v>
      </c>
      <c r="E46" s="4"/>
      <c r="F46" s="3"/>
      <c r="G46" s="4"/>
      <c r="H46" s="13"/>
      <c r="I46" s="3"/>
      <c r="J46" s="4"/>
      <c r="K46" s="4"/>
      <c r="L46" s="4"/>
      <c r="M46" s="4"/>
      <c r="N46" s="4"/>
      <c r="O46" s="3"/>
      <c r="P46" s="9">
        <f t="shared" si="45"/>
        <v>0</v>
      </c>
      <c r="Q46" s="9">
        <f t="shared" si="45"/>
        <v>0</v>
      </c>
      <c r="R46" s="9">
        <f t="shared" si="45"/>
        <v>0</v>
      </c>
      <c r="S46" s="9">
        <f t="shared" si="45"/>
        <v>0</v>
      </c>
      <c r="T46" s="9">
        <f t="shared" si="45"/>
        <v>0</v>
      </c>
    </row>
    <row r="47" spans="1:25" ht="12.75" customHeight="1" x14ac:dyDescent="0.2">
      <c r="C47" s="4" t="s">
        <v>4</v>
      </c>
      <c r="D47" s="4" t="s">
        <v>41</v>
      </c>
      <c r="E47" s="7"/>
      <c r="F47" s="3"/>
      <c r="G47" s="7"/>
      <c r="H47" s="31"/>
      <c r="I47" s="3"/>
      <c r="J47" s="7"/>
      <c r="K47" s="7"/>
      <c r="L47" s="7"/>
      <c r="M47" s="7"/>
      <c r="N47" s="7"/>
      <c r="O47" s="3"/>
      <c r="P47" s="9">
        <f t="shared" si="45"/>
        <v>0</v>
      </c>
      <c r="Q47" s="9">
        <f t="shared" si="45"/>
        <v>0</v>
      </c>
      <c r="R47" s="9">
        <f t="shared" si="45"/>
        <v>0</v>
      </c>
      <c r="S47" s="9">
        <f t="shared" si="45"/>
        <v>0</v>
      </c>
      <c r="T47" s="9">
        <f t="shared" si="45"/>
        <v>0</v>
      </c>
    </row>
    <row r="48" spans="1:25" ht="12.75" customHeight="1" x14ac:dyDescent="0.2">
      <c r="C48" s="10" t="str">
        <f>"Total Expenditure ($ "&amp;Assumptions!$B$8&amp;")"</f>
        <v>Total Expenditure ($ 2018)</v>
      </c>
      <c r="D48" s="10"/>
      <c r="E48" s="10"/>
      <c r="F48" s="3"/>
      <c r="G48" s="10"/>
      <c r="H48" s="14"/>
      <c r="I48" s="3"/>
      <c r="J48" s="10"/>
      <c r="K48" s="10"/>
      <c r="L48" s="10"/>
      <c r="M48" s="10"/>
      <c r="N48" s="10"/>
      <c r="O48" s="3"/>
      <c r="P48" s="11">
        <f>SUM(P42:P47)</f>
        <v>4510882</v>
      </c>
      <c r="Q48" s="11">
        <f t="shared" ref="Q48:T48" si="46">SUM(Q42:Q47)</f>
        <v>2683630</v>
      </c>
      <c r="R48" s="11">
        <f t="shared" si="46"/>
        <v>1920196.6</v>
      </c>
      <c r="S48" s="11">
        <f t="shared" si="46"/>
        <v>4530180</v>
      </c>
      <c r="T48" s="11">
        <f t="shared" si="46"/>
        <v>358300</v>
      </c>
      <c r="U48" s="43"/>
    </row>
    <row r="49" spans="3:22" ht="12.75" customHeight="1" x14ac:dyDescent="0.2">
      <c r="C49" s="28" t="str">
        <f>"Total Expenditure ($ "&amp;Assumptions!B17&amp;")"</f>
        <v>Total Expenditure ($ 2020/21)</v>
      </c>
      <c r="D49" s="28"/>
      <c r="E49" s="28"/>
      <c r="F49" s="3"/>
      <c r="G49" s="28"/>
      <c r="H49" s="29"/>
      <c r="I49" s="3"/>
      <c r="J49" s="28"/>
      <c r="K49" s="28"/>
      <c r="L49" s="28"/>
      <c r="M49" s="28"/>
      <c r="N49" s="28"/>
      <c r="O49" s="3"/>
      <c r="P49" s="44">
        <f>P48*Assumptions!$B$18</f>
        <v>4777218.9579654383</v>
      </c>
      <c r="Q49" s="44">
        <f>Q48*Assumptions!$B$18</f>
        <v>2842080.1324806963</v>
      </c>
      <c r="R49" s="44">
        <f>R48*Assumptions!$B$18</f>
        <v>2033571.1731188663</v>
      </c>
      <c r="S49" s="44">
        <f>S48*Assumptions!$B$18</f>
        <v>4797656.3738523573</v>
      </c>
      <c r="T49" s="44">
        <f>T48*Assumptions!$B$18</f>
        <v>379455.18252062821</v>
      </c>
      <c r="U49" s="43"/>
    </row>
    <row r="50" spans="3:22" ht="12.75" customHeight="1" x14ac:dyDescent="0.2">
      <c r="C50" s="100" t="s">
        <v>12</v>
      </c>
      <c r="D50" s="100"/>
      <c r="E50" s="100"/>
      <c r="F50" s="3"/>
      <c r="G50" s="100"/>
      <c r="H50" s="100"/>
      <c r="I50" s="3"/>
      <c r="J50" s="100"/>
      <c r="K50" s="100"/>
      <c r="L50" s="100"/>
      <c r="M50" s="100"/>
      <c r="N50" s="100"/>
      <c r="O50" s="3"/>
      <c r="P50" s="101">
        <f>P48-SUM(P10:P38)</f>
        <v>0</v>
      </c>
      <c r="Q50" s="101">
        <f t="shared" ref="Q50:T50" si="47">Q48-SUM(Q10:Q38)</f>
        <v>0</v>
      </c>
      <c r="R50" s="101">
        <f t="shared" si="47"/>
        <v>0</v>
      </c>
      <c r="S50" s="101">
        <f t="shared" si="47"/>
        <v>0</v>
      </c>
      <c r="T50" s="101">
        <f t="shared" si="47"/>
        <v>0</v>
      </c>
      <c r="V50" s="101">
        <f>SUM(P50:T50)</f>
        <v>0</v>
      </c>
    </row>
    <row r="51" spans="3:22" ht="12.75" customHeight="1" x14ac:dyDescent="0.2">
      <c r="F51" s="3"/>
      <c r="I51" s="3"/>
      <c r="O51" s="3"/>
    </row>
    <row r="52" spans="3:22" ht="12.75" customHeight="1" x14ac:dyDescent="0.2">
      <c r="C52" s="127" t="str">
        <f>"NPV ($ "&amp;Assumptions!$B$17&amp;")"</f>
        <v>NPV ($ 2020/21)</v>
      </c>
      <c r="D52" s="128">
        <f>NPV(Assumptions!$B$6,$P$49:$T$49)</f>
        <v>13851585.121979555</v>
      </c>
      <c r="F52" s="3"/>
      <c r="I52" s="3"/>
      <c r="O52" s="3"/>
    </row>
    <row r="53" spans="3:22" ht="12.75" customHeight="1" x14ac:dyDescent="0.2">
      <c r="O53" s="3"/>
    </row>
    <row r="54" spans="3:22" ht="12.75" customHeight="1" x14ac:dyDescent="0.2">
      <c r="O54" s="3"/>
    </row>
    <row r="55" spans="3:22" ht="12.75" customHeight="1" x14ac:dyDescent="0.2"/>
    <row r="56" spans="3:22" ht="12.75" customHeight="1" x14ac:dyDescent="0.2"/>
    <row r="57" spans="3:22" ht="12.75" customHeight="1" x14ac:dyDescent="0.2"/>
  </sheetData>
  <sortState ref="B52:B54">
    <sortCondition ref="B52:B54"/>
  </sortState>
  <conditionalFormatting sqref="P50:T50">
    <cfRule type="expression" dxfId="4" priority="6">
      <formula>ABS(P50)&gt;0.001</formula>
    </cfRule>
  </conditionalFormatting>
  <conditionalFormatting sqref="V50">
    <cfRule type="expression" dxfId="3" priority="1">
      <formula>ABS(V50)&gt;0.001</formula>
    </cfRule>
  </conditionalFormatting>
  <dataValidations count="2">
    <dataValidation type="list" allowBlank="1" showInputMessage="1" showErrorMessage="1" sqref="D10:D21 D31:D38 D24:D28">
      <formula1>"CapEx, OpEx"</formula1>
    </dataValidation>
    <dataValidation type="list" allowBlank="1" showInputMessage="1" showErrorMessage="1" sqref="E10:E21 E31:E38 E24:E28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62"/>
  <sheetViews>
    <sheetView showGridLines="0" zoomScale="90" zoomScaleNormal="90" workbookViewId="0"/>
  </sheetViews>
  <sheetFormatPr defaultColWidth="9.140625" defaultRowHeight="12.75" x14ac:dyDescent="0.2"/>
  <cols>
    <col min="1" max="1" width="4.28515625" style="99" customWidth="1"/>
    <col min="2" max="2" width="2.7109375" style="99" customWidth="1"/>
    <col min="3" max="3" width="59.5703125" style="99" bestFit="1" customWidth="1"/>
    <col min="4" max="5" width="11.140625" style="99" customWidth="1"/>
    <col min="6" max="6" width="2.85546875" style="99" customWidth="1"/>
    <col min="7" max="7" width="12.140625" style="99" customWidth="1"/>
    <col min="8" max="8" width="12.7109375" style="12" customWidth="1"/>
    <col min="9" max="9" width="2.85546875" style="99" customWidth="1"/>
    <col min="10" max="14" width="12.140625" style="99" customWidth="1"/>
    <col min="15" max="15" width="2.85546875" style="99" customWidth="1"/>
    <col min="16" max="20" width="12.140625" style="99" customWidth="1"/>
    <col min="21" max="21" width="2.140625" style="99" customWidth="1"/>
    <col min="22" max="24" width="11" style="99" bestFit="1" customWidth="1"/>
    <col min="25" max="25" width="12.140625" style="99" bestFit="1" customWidth="1"/>
    <col min="26" max="26" width="11" style="99" bestFit="1" customWidth="1"/>
    <col min="27" max="16384" width="9.140625" style="99"/>
  </cols>
  <sheetData>
    <row r="1" spans="1:25" ht="21" x14ac:dyDescent="0.35">
      <c r="A1" s="18" t="str">
        <f>Assumptions!A1</f>
        <v>EMS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21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6" t="b">
        <f>SUM(V7:V55)=0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C7" s="118" t="s">
        <v>46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J7" s="23" t="s">
        <v>45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19" t="s">
        <v>16</v>
      </c>
      <c r="K8" s="119" t="s">
        <v>17</v>
      </c>
      <c r="L8" s="119" t="s">
        <v>18</v>
      </c>
      <c r="M8" s="119" t="s">
        <v>19</v>
      </c>
      <c r="N8" s="119" t="s">
        <v>20</v>
      </c>
      <c r="O8" s="4"/>
      <c r="P8" s="119" t="s">
        <v>16</v>
      </c>
      <c r="Q8" s="119" t="s">
        <v>17</v>
      </c>
      <c r="R8" s="119" t="s">
        <v>18</v>
      </c>
      <c r="S8" s="119" t="s">
        <v>19</v>
      </c>
      <c r="T8" s="119" t="s">
        <v>20</v>
      </c>
    </row>
    <row r="9" spans="1:25" ht="12.75" customHeight="1" x14ac:dyDescent="0.2">
      <c r="C9" s="4"/>
      <c r="D9" s="4"/>
      <c r="E9" s="4"/>
      <c r="F9" s="20"/>
    </row>
    <row r="10" spans="1:25" ht="12.75" customHeight="1" x14ac:dyDescent="0.2">
      <c r="A10" s="7"/>
      <c r="C10" s="107" t="s">
        <v>52</v>
      </c>
      <c r="D10" s="108" t="s">
        <v>5</v>
      </c>
      <c r="E10" s="109" t="s">
        <v>2</v>
      </c>
      <c r="F10" s="3"/>
      <c r="G10" s="110">
        <v>122.2</v>
      </c>
      <c r="H10" s="12" t="s">
        <v>42</v>
      </c>
      <c r="I10" s="3"/>
      <c r="J10" s="111"/>
      <c r="K10" s="111">
        <v>1250</v>
      </c>
      <c r="L10" s="111"/>
      <c r="M10" s="111">
        <v>1100</v>
      </c>
      <c r="N10" s="111"/>
      <c r="O10" s="3"/>
      <c r="P10" s="8">
        <f t="shared" ref="P10:T23" si="0">J10*$G10</f>
        <v>0</v>
      </c>
      <c r="Q10" s="8">
        <f t="shared" si="0"/>
        <v>152750</v>
      </c>
      <c r="R10" s="8">
        <f t="shared" si="0"/>
        <v>0</v>
      </c>
      <c r="S10" s="8">
        <f t="shared" si="0"/>
        <v>134420</v>
      </c>
      <c r="T10" s="8">
        <f t="shared" si="0"/>
        <v>0</v>
      </c>
    </row>
    <row r="11" spans="1:25" ht="12.75" customHeight="1" x14ac:dyDescent="0.2">
      <c r="A11" s="7"/>
      <c r="C11" s="107" t="s">
        <v>53</v>
      </c>
      <c r="D11" s="108" t="s">
        <v>5</v>
      </c>
      <c r="E11" s="109" t="s">
        <v>2</v>
      </c>
      <c r="F11" s="3"/>
      <c r="G11" s="110">
        <v>122.2</v>
      </c>
      <c r="H11" s="12" t="s">
        <v>42</v>
      </c>
      <c r="I11" s="3"/>
      <c r="J11" s="112"/>
      <c r="K11" s="112"/>
      <c r="L11" s="112">
        <v>150</v>
      </c>
      <c r="M11" s="112"/>
      <c r="N11" s="112"/>
      <c r="O11" s="3"/>
      <c r="P11" s="8">
        <f t="shared" si="0"/>
        <v>0</v>
      </c>
      <c r="Q11" s="8">
        <f t="shared" si="0"/>
        <v>0</v>
      </c>
      <c r="R11" s="8">
        <f t="shared" si="0"/>
        <v>18330</v>
      </c>
      <c r="S11" s="8">
        <f t="shared" si="0"/>
        <v>0</v>
      </c>
      <c r="T11" s="8">
        <f t="shared" si="0"/>
        <v>0</v>
      </c>
    </row>
    <row r="12" spans="1:25" ht="12.75" customHeight="1" x14ac:dyDescent="0.2">
      <c r="A12" s="7"/>
      <c r="C12" s="107" t="s">
        <v>54</v>
      </c>
      <c r="D12" s="108" t="s">
        <v>5</v>
      </c>
      <c r="E12" s="109" t="s">
        <v>2</v>
      </c>
      <c r="F12" s="3"/>
      <c r="G12" s="110">
        <v>122.2</v>
      </c>
      <c r="H12" s="12" t="s">
        <v>42</v>
      </c>
      <c r="I12" s="3"/>
      <c r="J12" s="112"/>
      <c r="K12" s="112"/>
      <c r="L12" s="112"/>
      <c r="M12" s="112"/>
      <c r="N12" s="112"/>
      <c r="O12" s="3"/>
      <c r="P12" s="8">
        <f t="shared" si="0"/>
        <v>0</v>
      </c>
      <c r="Q12" s="8">
        <f t="shared" si="0"/>
        <v>0</v>
      </c>
      <c r="R12" s="8">
        <f t="shared" si="0"/>
        <v>0</v>
      </c>
      <c r="S12" s="8">
        <f t="shared" si="0"/>
        <v>0</v>
      </c>
      <c r="T12" s="8">
        <f t="shared" si="0"/>
        <v>0</v>
      </c>
    </row>
    <row r="13" spans="1:25" ht="12.75" customHeight="1" x14ac:dyDescent="0.2">
      <c r="A13" s="7"/>
      <c r="C13" s="107" t="s">
        <v>66</v>
      </c>
      <c r="D13" s="108" t="s">
        <v>5</v>
      </c>
      <c r="E13" s="109" t="s">
        <v>2</v>
      </c>
      <c r="F13" s="3"/>
      <c r="G13" s="110">
        <v>122.2</v>
      </c>
      <c r="H13" s="12" t="s">
        <v>42</v>
      </c>
      <c r="I13" s="3"/>
      <c r="J13" s="112"/>
      <c r="K13" s="112">
        <v>3000</v>
      </c>
      <c r="L13" s="112"/>
      <c r="M13" s="112"/>
      <c r="N13" s="112">
        <v>800</v>
      </c>
      <c r="O13" s="3"/>
      <c r="P13" s="8">
        <f t="shared" ref="P13" si="1">J13*$G13</f>
        <v>0</v>
      </c>
      <c r="Q13" s="8">
        <f t="shared" ref="Q13" si="2">K13*$G13</f>
        <v>366600</v>
      </c>
      <c r="R13" s="8">
        <f t="shared" ref="R13" si="3">L13*$G13</f>
        <v>0</v>
      </c>
      <c r="S13" s="8">
        <f t="shared" ref="S13" si="4">M13*$G13</f>
        <v>0</v>
      </c>
      <c r="T13" s="8">
        <f t="shared" ref="T13" si="5">N13*$G13</f>
        <v>97760</v>
      </c>
    </row>
    <row r="14" spans="1:25" ht="12.75" customHeight="1" x14ac:dyDescent="0.25">
      <c r="A14" s="7"/>
      <c r="C14" s="107" t="s">
        <v>55</v>
      </c>
      <c r="D14" s="108" t="s">
        <v>5</v>
      </c>
      <c r="E14" s="109" t="s">
        <v>2</v>
      </c>
      <c r="F14" s="3"/>
      <c r="G14" s="110">
        <v>122.2</v>
      </c>
      <c r="H14" s="12" t="s">
        <v>42</v>
      </c>
      <c r="I14" s="3"/>
      <c r="J14" s="112"/>
      <c r="K14" s="112"/>
      <c r="L14" s="112">
        <v>200</v>
      </c>
      <c r="M14" s="112"/>
      <c r="N14" s="112"/>
      <c r="O14" s="3"/>
      <c r="P14" s="8">
        <f t="shared" si="0"/>
        <v>0</v>
      </c>
      <c r="Q14" s="8">
        <f t="shared" si="0"/>
        <v>0</v>
      </c>
      <c r="R14" s="8">
        <f t="shared" si="0"/>
        <v>24440</v>
      </c>
      <c r="S14" s="8">
        <f t="shared" si="0"/>
        <v>0</v>
      </c>
      <c r="T14" s="8">
        <f t="shared" si="0"/>
        <v>0</v>
      </c>
      <c r="Y14"/>
    </row>
    <row r="15" spans="1:25" ht="12.75" customHeight="1" x14ac:dyDescent="0.25">
      <c r="A15" s="7"/>
      <c r="C15" s="107" t="s">
        <v>67</v>
      </c>
      <c r="D15" s="108" t="s">
        <v>5</v>
      </c>
      <c r="E15" s="109" t="s">
        <v>2</v>
      </c>
      <c r="F15" s="3"/>
      <c r="G15" s="110">
        <v>122.2</v>
      </c>
      <c r="H15" s="12" t="s">
        <v>42</v>
      </c>
      <c r="I15" s="3"/>
      <c r="J15" s="112"/>
      <c r="K15" s="112"/>
      <c r="L15" s="112"/>
      <c r="M15" s="112">
        <v>5000</v>
      </c>
      <c r="N15" s="112"/>
      <c r="O15" s="3"/>
      <c r="P15" s="8">
        <f t="shared" ref="P15" si="6">J15*$G15</f>
        <v>0</v>
      </c>
      <c r="Q15" s="8">
        <f t="shared" ref="Q15" si="7">K15*$G15</f>
        <v>0</v>
      </c>
      <c r="R15" s="8">
        <f t="shared" ref="R15" si="8">L15*$G15</f>
        <v>0</v>
      </c>
      <c r="S15" s="8">
        <f t="shared" ref="S15" si="9">M15*$G15</f>
        <v>611000</v>
      </c>
      <c r="T15" s="8">
        <f t="shared" ref="T15" si="10">N15*$G15</f>
        <v>0</v>
      </c>
      <c r="Y15"/>
    </row>
    <row r="16" spans="1:25" ht="12.75" customHeight="1" x14ac:dyDescent="0.25">
      <c r="A16" s="7"/>
      <c r="C16" s="107" t="s">
        <v>56</v>
      </c>
      <c r="D16" s="108" t="s">
        <v>5</v>
      </c>
      <c r="E16" s="109" t="s">
        <v>2</v>
      </c>
      <c r="F16" s="3"/>
      <c r="G16" s="110">
        <v>122.2</v>
      </c>
      <c r="H16" s="12" t="s">
        <v>42</v>
      </c>
      <c r="I16" s="3"/>
      <c r="J16" s="112"/>
      <c r="K16" s="112"/>
      <c r="L16" s="112">
        <v>1300</v>
      </c>
      <c r="M16" s="112"/>
      <c r="N16" s="112"/>
      <c r="O16" s="3"/>
      <c r="P16" s="8">
        <f t="shared" si="0"/>
        <v>0</v>
      </c>
      <c r="Q16" s="8">
        <f t="shared" si="0"/>
        <v>0</v>
      </c>
      <c r="R16" s="8">
        <f t="shared" si="0"/>
        <v>158860</v>
      </c>
      <c r="S16" s="8">
        <f t="shared" si="0"/>
        <v>0</v>
      </c>
      <c r="T16" s="8">
        <f t="shared" si="0"/>
        <v>0</v>
      </c>
      <c r="Y16"/>
    </row>
    <row r="17" spans="1:26" ht="12.75" customHeight="1" x14ac:dyDescent="0.25">
      <c r="A17" s="7"/>
      <c r="C17" s="107" t="s">
        <v>69</v>
      </c>
      <c r="D17" s="108" t="s">
        <v>5</v>
      </c>
      <c r="E17" s="109" t="s">
        <v>2</v>
      </c>
      <c r="F17" s="3"/>
      <c r="G17" s="110">
        <v>122.2</v>
      </c>
      <c r="H17" s="12" t="s">
        <v>42</v>
      </c>
      <c r="I17" s="3"/>
      <c r="J17" s="112">
        <v>12000</v>
      </c>
      <c r="K17" s="112">
        <v>12000</v>
      </c>
      <c r="L17" s="112"/>
      <c r="M17" s="112"/>
      <c r="N17" s="112"/>
      <c r="O17" s="3"/>
      <c r="P17" s="8">
        <f t="shared" si="0"/>
        <v>1466400</v>
      </c>
      <c r="Q17" s="8">
        <f t="shared" si="0"/>
        <v>1466400</v>
      </c>
      <c r="R17" s="8">
        <f t="shared" si="0"/>
        <v>0</v>
      </c>
      <c r="S17" s="8">
        <f t="shared" si="0"/>
        <v>0</v>
      </c>
      <c r="T17" s="8">
        <f t="shared" si="0"/>
        <v>0</v>
      </c>
      <c r="Y17"/>
    </row>
    <row r="18" spans="1:26" ht="12.75" customHeight="1" x14ac:dyDescent="0.25">
      <c r="A18" s="7"/>
      <c r="C18" s="107" t="s">
        <v>58</v>
      </c>
      <c r="D18" s="108" t="s">
        <v>5</v>
      </c>
      <c r="E18" s="109" t="s">
        <v>2</v>
      </c>
      <c r="F18" s="3"/>
      <c r="G18" s="110">
        <v>122.2</v>
      </c>
      <c r="H18" s="12" t="s">
        <v>42</v>
      </c>
      <c r="I18" s="3"/>
      <c r="J18" s="112">
        <v>3500</v>
      </c>
      <c r="K18" s="112">
        <v>3500</v>
      </c>
      <c r="L18" s="112">
        <v>6003.0000000000009</v>
      </c>
      <c r="M18" s="112">
        <v>11000</v>
      </c>
      <c r="N18" s="112"/>
      <c r="O18" s="3"/>
      <c r="P18" s="8">
        <f t="shared" si="0"/>
        <v>427700</v>
      </c>
      <c r="Q18" s="8">
        <f t="shared" si="0"/>
        <v>427700</v>
      </c>
      <c r="R18" s="8">
        <f t="shared" si="0"/>
        <v>733566.60000000009</v>
      </c>
      <c r="S18" s="8">
        <f t="shared" si="0"/>
        <v>1344200</v>
      </c>
      <c r="T18" s="8">
        <f t="shared" si="0"/>
        <v>0</v>
      </c>
      <c r="Y18"/>
    </row>
    <row r="19" spans="1:26" ht="12.75" customHeight="1" x14ac:dyDescent="0.25">
      <c r="A19" s="7"/>
      <c r="C19" s="107" t="s">
        <v>59</v>
      </c>
      <c r="D19" s="108" t="s">
        <v>5</v>
      </c>
      <c r="E19" s="109" t="s">
        <v>2</v>
      </c>
      <c r="F19" s="3"/>
      <c r="G19" s="110">
        <v>122.2</v>
      </c>
      <c r="H19" s="12" t="s">
        <v>42</v>
      </c>
      <c r="I19" s="3"/>
      <c r="J19" s="112">
        <v>1250</v>
      </c>
      <c r="K19" s="112"/>
      <c r="L19" s="112"/>
      <c r="M19" s="112">
        <v>1500</v>
      </c>
      <c r="N19" s="112"/>
      <c r="O19" s="3"/>
      <c r="P19" s="8">
        <f t="shared" si="0"/>
        <v>152750</v>
      </c>
      <c r="Q19" s="8">
        <f t="shared" si="0"/>
        <v>0</v>
      </c>
      <c r="R19" s="8">
        <f t="shared" si="0"/>
        <v>0</v>
      </c>
      <c r="S19" s="8">
        <f t="shared" si="0"/>
        <v>183300</v>
      </c>
      <c r="T19" s="8">
        <f t="shared" si="0"/>
        <v>0</v>
      </c>
      <c r="Y19"/>
    </row>
    <row r="20" spans="1:26" ht="12.75" customHeight="1" x14ac:dyDescent="0.25">
      <c r="A20" s="7"/>
      <c r="C20" s="107" t="s">
        <v>60</v>
      </c>
      <c r="D20" s="108" t="s">
        <v>5</v>
      </c>
      <c r="E20" s="109" t="s">
        <v>2</v>
      </c>
      <c r="F20" s="3"/>
      <c r="G20" s="110">
        <v>122.2</v>
      </c>
      <c r="H20" s="12" t="s">
        <v>42</v>
      </c>
      <c r="I20" s="3"/>
      <c r="J20" s="112">
        <v>1500</v>
      </c>
      <c r="K20" s="112"/>
      <c r="L20" s="112"/>
      <c r="M20" s="112"/>
      <c r="N20" s="112">
        <v>1500</v>
      </c>
      <c r="O20" s="3"/>
      <c r="P20" s="8">
        <f t="shared" si="0"/>
        <v>183300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183300</v>
      </c>
      <c r="Y20"/>
    </row>
    <row r="21" spans="1:26" ht="12.75" customHeight="1" x14ac:dyDescent="0.25">
      <c r="A21" s="7"/>
      <c r="C21" s="107" t="s">
        <v>61</v>
      </c>
      <c r="D21" s="108" t="s">
        <v>5</v>
      </c>
      <c r="E21" s="109" t="s">
        <v>2</v>
      </c>
      <c r="F21" s="3"/>
      <c r="G21" s="110">
        <v>122.2</v>
      </c>
      <c r="H21" s="12" t="s">
        <v>42</v>
      </c>
      <c r="I21" s="3"/>
      <c r="J21" s="112">
        <v>2500</v>
      </c>
      <c r="K21" s="112"/>
      <c r="L21" s="112"/>
      <c r="M21" s="112">
        <v>2250</v>
      </c>
      <c r="N21" s="112"/>
      <c r="O21" s="3"/>
      <c r="P21" s="8">
        <f t="shared" si="0"/>
        <v>305500</v>
      </c>
      <c r="Q21" s="8">
        <f t="shared" si="0"/>
        <v>0</v>
      </c>
      <c r="R21" s="8">
        <f t="shared" si="0"/>
        <v>0</v>
      </c>
      <c r="S21" s="8">
        <f t="shared" si="0"/>
        <v>274950</v>
      </c>
      <c r="T21" s="8">
        <f t="shared" si="0"/>
        <v>0</v>
      </c>
      <c r="Y21"/>
    </row>
    <row r="22" spans="1:26" ht="12.75" customHeight="1" x14ac:dyDescent="0.25">
      <c r="A22" s="7"/>
      <c r="C22" s="107" t="s">
        <v>62</v>
      </c>
      <c r="D22" s="108" t="s">
        <v>5</v>
      </c>
      <c r="E22" s="109" t="s">
        <v>2</v>
      </c>
      <c r="F22" s="3"/>
      <c r="G22" s="110">
        <v>122.2</v>
      </c>
      <c r="H22" s="12" t="s">
        <v>42</v>
      </c>
      <c r="I22" s="3"/>
      <c r="J22" s="112">
        <v>8500</v>
      </c>
      <c r="K22" s="112"/>
      <c r="L22" s="112"/>
      <c r="M22" s="112">
        <v>4000</v>
      </c>
      <c r="N22" s="112"/>
      <c r="O22" s="3"/>
      <c r="P22" s="8">
        <f t="shared" si="0"/>
        <v>1038700</v>
      </c>
      <c r="Q22" s="8">
        <f t="shared" si="0"/>
        <v>0</v>
      </c>
      <c r="R22" s="8">
        <f t="shared" si="0"/>
        <v>0</v>
      </c>
      <c r="S22" s="8">
        <f t="shared" si="0"/>
        <v>488800</v>
      </c>
      <c r="T22" s="8">
        <f t="shared" si="0"/>
        <v>0</v>
      </c>
      <c r="Y22"/>
    </row>
    <row r="23" spans="1:26" ht="12.75" customHeight="1" x14ac:dyDescent="0.25">
      <c r="A23" s="7"/>
      <c r="C23" s="107" t="s">
        <v>68</v>
      </c>
      <c r="D23" s="108" t="s">
        <v>5</v>
      </c>
      <c r="E23" s="109" t="s">
        <v>2</v>
      </c>
      <c r="F23" s="3"/>
      <c r="G23" s="110">
        <v>122.2</v>
      </c>
      <c r="H23" s="12" t="s">
        <v>42</v>
      </c>
      <c r="I23" s="3"/>
      <c r="J23" s="112"/>
      <c r="K23" s="112"/>
      <c r="L23" s="112"/>
      <c r="M23" s="112">
        <v>4000</v>
      </c>
      <c r="N23" s="112"/>
      <c r="O23" s="3"/>
      <c r="P23" s="8">
        <f>J23*$G23</f>
        <v>0</v>
      </c>
      <c r="Q23" s="8">
        <f t="shared" si="0"/>
        <v>0</v>
      </c>
      <c r="R23" s="8">
        <f t="shared" si="0"/>
        <v>0</v>
      </c>
      <c r="S23" s="8">
        <f t="shared" si="0"/>
        <v>488800</v>
      </c>
      <c r="T23" s="8">
        <f t="shared" si="0"/>
        <v>0</v>
      </c>
      <c r="Y23"/>
    </row>
    <row r="24" spans="1:26" ht="12.75" customHeight="1" x14ac:dyDescent="0.25">
      <c r="A24" s="7"/>
      <c r="F24" s="3"/>
      <c r="I24" s="3"/>
      <c r="O24" s="3"/>
      <c r="Y24"/>
    </row>
    <row r="25" spans="1:26" ht="12.75" customHeight="1" x14ac:dyDescent="0.25">
      <c r="A25" s="7"/>
      <c r="F25" s="3"/>
      <c r="I25" s="3"/>
      <c r="O25" s="3"/>
      <c r="Y25"/>
    </row>
    <row r="26" spans="1:26" ht="12.75" customHeight="1" x14ac:dyDescent="0.25">
      <c r="A26" s="7"/>
      <c r="C26" s="107" t="s">
        <v>54</v>
      </c>
      <c r="D26" s="108" t="s">
        <v>5</v>
      </c>
      <c r="E26" s="109" t="s">
        <v>1</v>
      </c>
      <c r="F26" s="3"/>
      <c r="G26" s="121">
        <v>85000</v>
      </c>
      <c r="H26" s="12" t="s">
        <v>43</v>
      </c>
      <c r="I26" s="3"/>
      <c r="J26" s="120"/>
      <c r="K26" s="120">
        <v>1</v>
      </c>
      <c r="L26" s="120"/>
      <c r="M26" s="120">
        <v>1</v>
      </c>
      <c r="N26" s="120"/>
      <c r="O26" s="3"/>
      <c r="P26" s="8">
        <f t="shared" ref="P26:T33" si="11">J26*$G26</f>
        <v>0</v>
      </c>
      <c r="Q26" s="8">
        <f t="shared" si="11"/>
        <v>85000</v>
      </c>
      <c r="R26" s="8">
        <f t="shared" si="11"/>
        <v>0</v>
      </c>
      <c r="S26" s="8">
        <f t="shared" si="11"/>
        <v>85000</v>
      </c>
      <c r="T26" s="8">
        <f t="shared" si="11"/>
        <v>0</v>
      </c>
      <c r="V26" s="122"/>
      <c r="W26" s="122"/>
      <c r="X26" s="122"/>
      <c r="Y26" s="123"/>
      <c r="Z26" s="122"/>
    </row>
    <row r="27" spans="1:26" ht="12.75" customHeight="1" x14ac:dyDescent="0.25">
      <c r="A27" s="7"/>
      <c r="C27" s="107" t="s">
        <v>66</v>
      </c>
      <c r="D27" s="108" t="s">
        <v>5</v>
      </c>
      <c r="E27" s="109" t="s">
        <v>1</v>
      </c>
      <c r="F27" s="3"/>
      <c r="G27" s="121">
        <v>300000</v>
      </c>
      <c r="H27" s="12" t="s">
        <v>43</v>
      </c>
      <c r="I27" s="3"/>
      <c r="J27" s="120"/>
      <c r="K27" s="120">
        <v>1</v>
      </c>
      <c r="L27" s="120"/>
      <c r="M27" s="120"/>
      <c r="N27" s="120"/>
      <c r="O27" s="3"/>
      <c r="P27" s="8">
        <f t="shared" ref="P27:P28" si="12">J27*$G27</f>
        <v>0</v>
      </c>
      <c r="Q27" s="8">
        <f t="shared" ref="Q27" si="13">K27*$G27</f>
        <v>300000</v>
      </c>
      <c r="R27" s="8">
        <f t="shared" ref="R27:R28" si="14">L27*$G27</f>
        <v>0</v>
      </c>
      <c r="S27" s="8">
        <f t="shared" ref="S27" si="15">M27*$G27</f>
        <v>0</v>
      </c>
      <c r="T27" s="8">
        <f t="shared" ref="T27:T28" si="16">N27*$G27</f>
        <v>0</v>
      </c>
      <c r="V27" s="122"/>
      <c r="W27" s="122"/>
      <c r="X27" s="122"/>
      <c r="Y27" s="123"/>
      <c r="Z27" s="122"/>
    </row>
    <row r="28" spans="1:26" ht="12.75" customHeight="1" x14ac:dyDescent="0.25">
      <c r="A28" s="7"/>
      <c r="C28" s="107" t="s">
        <v>67</v>
      </c>
      <c r="D28" s="108" t="s">
        <v>5</v>
      </c>
      <c r="E28" s="109" t="s">
        <v>1</v>
      </c>
      <c r="F28" s="3"/>
      <c r="G28" s="121">
        <v>250000</v>
      </c>
      <c r="H28" s="12" t="s">
        <v>43</v>
      </c>
      <c r="I28" s="3"/>
      <c r="J28" s="120"/>
      <c r="K28" s="120"/>
      <c r="L28" s="120"/>
      <c r="M28" s="120">
        <v>2</v>
      </c>
      <c r="N28" s="120"/>
      <c r="O28" s="3"/>
      <c r="P28" s="8">
        <f t="shared" si="12"/>
        <v>0</v>
      </c>
      <c r="Q28" s="8">
        <f>K28*$G28</f>
        <v>0</v>
      </c>
      <c r="R28" s="8">
        <f t="shared" si="14"/>
        <v>0</v>
      </c>
      <c r="S28" s="8">
        <f>M28*$G28</f>
        <v>500000</v>
      </c>
      <c r="T28" s="8">
        <f t="shared" si="16"/>
        <v>0</v>
      </c>
      <c r="V28" s="122"/>
      <c r="W28" s="122"/>
      <c r="X28" s="122"/>
      <c r="Y28" s="123"/>
      <c r="Z28" s="122"/>
    </row>
    <row r="29" spans="1:26" ht="12.75" customHeight="1" x14ac:dyDescent="0.25">
      <c r="A29" s="7"/>
      <c r="C29" s="107" t="s">
        <v>56</v>
      </c>
      <c r="D29" s="108" t="s">
        <v>5</v>
      </c>
      <c r="E29" s="109" t="s">
        <v>1</v>
      </c>
      <c r="F29" s="3"/>
      <c r="G29" s="121">
        <v>200000</v>
      </c>
      <c r="H29" s="12" t="s">
        <v>43</v>
      </c>
      <c r="I29" s="3"/>
      <c r="J29" s="120"/>
      <c r="K29" s="120"/>
      <c r="L29" s="120">
        <v>1</v>
      </c>
      <c r="M29" s="120"/>
      <c r="N29" s="120"/>
      <c r="O29" s="3"/>
      <c r="P29" s="8">
        <f t="shared" si="11"/>
        <v>0</v>
      </c>
      <c r="Q29" s="8">
        <f t="shared" si="11"/>
        <v>0</v>
      </c>
      <c r="R29" s="8">
        <f t="shared" si="11"/>
        <v>200000</v>
      </c>
      <c r="S29" s="8">
        <f t="shared" si="11"/>
        <v>0</v>
      </c>
      <c r="T29" s="8">
        <f t="shared" si="11"/>
        <v>0</v>
      </c>
      <c r="V29" s="122"/>
      <c r="W29" s="122"/>
      <c r="X29" s="122"/>
      <c r="Y29" s="123"/>
      <c r="Z29" s="122"/>
    </row>
    <row r="30" spans="1:26" ht="12.75" customHeight="1" x14ac:dyDescent="0.25">
      <c r="A30" s="7"/>
      <c r="C30" s="107" t="s">
        <v>63</v>
      </c>
      <c r="D30" s="108" t="s">
        <v>5</v>
      </c>
      <c r="E30" s="109" t="s">
        <v>1</v>
      </c>
      <c r="F30" s="3"/>
      <c r="G30" s="121">
        <v>175000</v>
      </c>
      <c r="H30" s="12" t="s">
        <v>43</v>
      </c>
      <c r="I30" s="3"/>
      <c r="J30" s="120">
        <v>1</v>
      </c>
      <c r="K30" s="120">
        <v>1</v>
      </c>
      <c r="L30" s="124">
        <v>1.7142857142857142</v>
      </c>
      <c r="M30" s="124">
        <v>1.7142857142857142</v>
      </c>
      <c r="N30" s="120"/>
      <c r="O30" s="3"/>
      <c r="P30" s="8">
        <f t="shared" si="11"/>
        <v>175000</v>
      </c>
      <c r="Q30" s="8">
        <f t="shared" si="11"/>
        <v>175000</v>
      </c>
      <c r="R30" s="8">
        <f t="shared" si="11"/>
        <v>300000</v>
      </c>
      <c r="S30" s="8">
        <f t="shared" si="11"/>
        <v>300000</v>
      </c>
      <c r="T30" s="8">
        <f t="shared" si="11"/>
        <v>0</v>
      </c>
      <c r="V30" s="122"/>
      <c r="W30" s="122"/>
      <c r="X30" s="122"/>
      <c r="Y30" s="123"/>
      <c r="Z30" s="122"/>
    </row>
    <row r="31" spans="1:26" ht="12.75" customHeight="1" x14ac:dyDescent="0.25">
      <c r="A31" s="7"/>
      <c r="C31" s="107" t="s">
        <v>69</v>
      </c>
      <c r="D31" s="108" t="s">
        <v>5</v>
      </c>
      <c r="E31" s="109" t="s">
        <v>1</v>
      </c>
      <c r="F31" s="3"/>
      <c r="G31" s="121">
        <v>250000</v>
      </c>
      <c r="H31" s="12" t="s">
        <v>43</v>
      </c>
      <c r="I31" s="3"/>
      <c r="J31" s="120"/>
      <c r="K31" s="120">
        <v>2</v>
      </c>
      <c r="L31" s="124"/>
      <c r="M31" s="124"/>
      <c r="N31" s="120"/>
      <c r="O31" s="3"/>
      <c r="P31" s="8">
        <f t="shared" ref="P31" si="17">J31*$G31</f>
        <v>0</v>
      </c>
      <c r="Q31" s="8">
        <f t="shared" ref="Q31" si="18">K31*$G31</f>
        <v>500000</v>
      </c>
      <c r="R31" s="8">
        <f t="shared" ref="R31" si="19">L31*$G31</f>
        <v>0</v>
      </c>
      <c r="S31" s="8">
        <f t="shared" ref="S31" si="20">M31*$G31</f>
        <v>0</v>
      </c>
      <c r="T31" s="8">
        <f t="shared" ref="T31" si="21">N31*$G31</f>
        <v>0</v>
      </c>
      <c r="V31" s="122"/>
      <c r="W31" s="122"/>
      <c r="X31" s="122"/>
      <c r="Y31" s="123"/>
      <c r="Z31" s="122"/>
    </row>
    <row r="32" spans="1:26" ht="12.75" customHeight="1" x14ac:dyDescent="0.25">
      <c r="A32" s="7"/>
      <c r="C32" s="107" t="s">
        <v>60</v>
      </c>
      <c r="D32" s="108" t="s">
        <v>5</v>
      </c>
      <c r="E32" s="109" t="s">
        <v>1</v>
      </c>
      <c r="F32" s="3"/>
      <c r="G32" s="121">
        <v>75000</v>
      </c>
      <c r="H32" s="12" t="s">
        <v>43</v>
      </c>
      <c r="I32" s="3"/>
      <c r="J32" s="120">
        <v>1</v>
      </c>
      <c r="K32" s="120"/>
      <c r="L32" s="120"/>
      <c r="M32" s="120"/>
      <c r="N32" s="120">
        <v>1</v>
      </c>
      <c r="O32" s="3"/>
      <c r="P32" s="8">
        <f t="shared" si="11"/>
        <v>75000</v>
      </c>
      <c r="Q32" s="8">
        <f t="shared" si="11"/>
        <v>0</v>
      </c>
      <c r="R32" s="8">
        <f t="shared" si="11"/>
        <v>0</v>
      </c>
      <c r="S32" s="8">
        <f t="shared" si="11"/>
        <v>0</v>
      </c>
      <c r="T32" s="8">
        <f t="shared" si="11"/>
        <v>75000</v>
      </c>
      <c r="V32" s="122"/>
      <c r="W32" s="122"/>
      <c r="X32" s="122"/>
      <c r="Y32" s="123"/>
      <c r="Z32" s="122"/>
    </row>
    <row r="33" spans="1:26" ht="12.75" customHeight="1" x14ac:dyDescent="0.25">
      <c r="A33" s="7"/>
      <c r="C33" s="107" t="s">
        <v>61</v>
      </c>
      <c r="D33" s="108" t="s">
        <v>5</v>
      </c>
      <c r="E33" s="109" t="s">
        <v>1</v>
      </c>
      <c r="F33" s="3"/>
      <c r="G33" s="121">
        <v>75000</v>
      </c>
      <c r="H33" s="12" t="s">
        <v>43</v>
      </c>
      <c r="I33" s="3"/>
      <c r="J33" s="120">
        <v>1</v>
      </c>
      <c r="K33" s="120"/>
      <c r="L33" s="120"/>
      <c r="M33" s="120">
        <v>1</v>
      </c>
      <c r="N33" s="120"/>
      <c r="O33" s="3"/>
      <c r="P33" s="8">
        <f t="shared" si="11"/>
        <v>75000</v>
      </c>
      <c r="Q33" s="8">
        <f t="shared" si="11"/>
        <v>0</v>
      </c>
      <c r="R33" s="8">
        <f t="shared" si="11"/>
        <v>0</v>
      </c>
      <c r="S33" s="8">
        <f t="shared" si="11"/>
        <v>75000</v>
      </c>
      <c r="T33" s="8">
        <f t="shared" si="11"/>
        <v>0</v>
      </c>
      <c r="V33" s="122"/>
      <c r="W33" s="122"/>
      <c r="X33" s="122"/>
      <c r="Y33" s="123"/>
      <c r="Z33" s="122"/>
    </row>
    <row r="34" spans="1:26" ht="12.7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Y34"/>
    </row>
    <row r="35" spans="1:26" ht="12.7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Y35"/>
    </row>
    <row r="36" spans="1:26" ht="12.75" customHeight="1" x14ac:dyDescent="0.2">
      <c r="A36" s="7"/>
      <c r="C36" s="107" t="s">
        <v>52</v>
      </c>
      <c r="D36" s="108" t="s">
        <v>5</v>
      </c>
      <c r="E36" s="109" t="s">
        <v>4</v>
      </c>
      <c r="G36" s="6"/>
      <c r="H36" s="13" t="s">
        <v>44</v>
      </c>
      <c r="J36" s="120">
        <v>500000</v>
      </c>
      <c r="K36" s="120">
        <v>500000</v>
      </c>
      <c r="L36" s="120">
        <v>0</v>
      </c>
      <c r="M36" s="120">
        <v>250000</v>
      </c>
      <c r="N36" s="120">
        <v>0</v>
      </c>
      <c r="P36" s="8">
        <f t="shared" ref="P36:T43" si="22">J36</f>
        <v>500000</v>
      </c>
      <c r="Q36" s="8">
        <f t="shared" si="22"/>
        <v>500000</v>
      </c>
      <c r="R36" s="8">
        <f t="shared" si="22"/>
        <v>0</v>
      </c>
      <c r="S36" s="8">
        <f t="shared" si="22"/>
        <v>250000</v>
      </c>
      <c r="T36" s="8">
        <f t="shared" si="22"/>
        <v>0</v>
      </c>
    </row>
    <row r="37" spans="1:26" ht="12.75" customHeight="1" x14ac:dyDescent="0.2">
      <c r="A37" s="7"/>
      <c r="C37" s="107" t="s">
        <v>53</v>
      </c>
      <c r="D37" s="108" t="s">
        <v>5</v>
      </c>
      <c r="E37" s="109" t="s">
        <v>4</v>
      </c>
      <c r="G37" s="6"/>
      <c r="H37" s="13" t="s">
        <v>44</v>
      </c>
      <c r="J37" s="120">
        <v>0</v>
      </c>
      <c r="K37" s="120">
        <v>0</v>
      </c>
      <c r="L37" s="120">
        <v>15000</v>
      </c>
      <c r="M37" s="120">
        <v>0</v>
      </c>
      <c r="N37" s="120">
        <v>0</v>
      </c>
      <c r="P37" s="8">
        <f t="shared" si="22"/>
        <v>0</v>
      </c>
      <c r="Q37" s="8">
        <f t="shared" si="22"/>
        <v>0</v>
      </c>
      <c r="R37" s="8">
        <f t="shared" si="22"/>
        <v>15000</v>
      </c>
      <c r="S37" s="8">
        <f t="shared" si="22"/>
        <v>0</v>
      </c>
      <c r="T37" s="8">
        <f t="shared" si="22"/>
        <v>0</v>
      </c>
    </row>
    <row r="38" spans="1:26" ht="12.75" customHeight="1" x14ac:dyDescent="0.2">
      <c r="A38" s="7"/>
      <c r="C38" s="107" t="s">
        <v>54</v>
      </c>
      <c r="D38" s="108" t="s">
        <v>5</v>
      </c>
      <c r="E38" s="109" t="s">
        <v>4</v>
      </c>
      <c r="G38" s="6"/>
      <c r="H38" s="13" t="s">
        <v>44</v>
      </c>
      <c r="J38" s="120">
        <v>0</v>
      </c>
      <c r="K38" s="120">
        <v>150000</v>
      </c>
      <c r="L38" s="120">
        <v>0</v>
      </c>
      <c r="M38" s="120">
        <v>150000</v>
      </c>
      <c r="N38" s="120">
        <v>0</v>
      </c>
      <c r="P38" s="8">
        <f t="shared" si="22"/>
        <v>0</v>
      </c>
      <c r="Q38" s="8">
        <f t="shared" si="22"/>
        <v>150000</v>
      </c>
      <c r="R38" s="8">
        <f t="shared" si="22"/>
        <v>0</v>
      </c>
      <c r="S38" s="8">
        <f t="shared" si="22"/>
        <v>150000</v>
      </c>
      <c r="T38" s="8">
        <f t="shared" si="22"/>
        <v>0</v>
      </c>
    </row>
    <row r="39" spans="1:26" ht="12.75" customHeight="1" x14ac:dyDescent="0.2">
      <c r="A39" s="7"/>
      <c r="C39" s="107" t="s">
        <v>55</v>
      </c>
      <c r="D39" s="108" t="s">
        <v>5</v>
      </c>
      <c r="E39" s="109" t="s">
        <v>4</v>
      </c>
      <c r="G39" s="6"/>
      <c r="H39" s="13" t="s">
        <v>44</v>
      </c>
      <c r="J39" s="120">
        <v>0</v>
      </c>
      <c r="K39" s="120">
        <v>0</v>
      </c>
      <c r="L39" s="120">
        <v>60000</v>
      </c>
      <c r="M39" s="120">
        <v>0</v>
      </c>
      <c r="N39" s="120">
        <v>0</v>
      </c>
      <c r="P39" s="8">
        <f t="shared" si="22"/>
        <v>0</v>
      </c>
      <c r="Q39" s="8">
        <f t="shared" si="22"/>
        <v>0</v>
      </c>
      <c r="R39" s="8">
        <f t="shared" si="22"/>
        <v>60000</v>
      </c>
      <c r="S39" s="8">
        <f t="shared" si="22"/>
        <v>0</v>
      </c>
      <c r="T39" s="8">
        <f t="shared" si="22"/>
        <v>0</v>
      </c>
    </row>
    <row r="40" spans="1:26" ht="12.75" customHeight="1" x14ac:dyDescent="0.2">
      <c r="A40" s="7"/>
      <c r="C40" s="107" t="s">
        <v>56</v>
      </c>
      <c r="D40" s="108" t="s">
        <v>5</v>
      </c>
      <c r="E40" s="109" t="s">
        <v>4</v>
      </c>
      <c r="G40" s="6"/>
      <c r="H40" s="13" t="s">
        <v>44</v>
      </c>
      <c r="J40" s="120">
        <v>0</v>
      </c>
      <c r="K40" s="120">
        <v>0</v>
      </c>
      <c r="L40" s="120">
        <v>160000</v>
      </c>
      <c r="M40" s="120">
        <v>75000</v>
      </c>
      <c r="N40" s="120">
        <v>0</v>
      </c>
      <c r="P40" s="8">
        <f t="shared" si="22"/>
        <v>0</v>
      </c>
      <c r="Q40" s="8">
        <f t="shared" si="22"/>
        <v>0</v>
      </c>
      <c r="R40" s="8">
        <f t="shared" si="22"/>
        <v>160000</v>
      </c>
      <c r="S40" s="8">
        <f t="shared" si="22"/>
        <v>75000</v>
      </c>
      <c r="T40" s="8">
        <f t="shared" si="22"/>
        <v>0</v>
      </c>
    </row>
    <row r="41" spans="1:26" ht="12.75" customHeight="1" x14ac:dyDescent="0.2">
      <c r="A41" s="7"/>
      <c r="C41" s="107" t="s">
        <v>58</v>
      </c>
      <c r="D41" s="108" t="s">
        <v>5</v>
      </c>
      <c r="E41" s="109" t="s">
        <v>4</v>
      </c>
      <c r="G41" s="6"/>
      <c r="H41" s="13" t="s">
        <v>44</v>
      </c>
      <c r="J41" s="120">
        <v>250000</v>
      </c>
      <c r="K41" s="120">
        <v>250000</v>
      </c>
      <c r="L41" s="120">
        <v>150000</v>
      </c>
      <c r="M41" s="120">
        <v>500000</v>
      </c>
      <c r="N41" s="120">
        <v>0</v>
      </c>
      <c r="P41" s="8">
        <f t="shared" si="22"/>
        <v>250000</v>
      </c>
      <c r="Q41" s="8">
        <f t="shared" si="22"/>
        <v>250000</v>
      </c>
      <c r="R41" s="8">
        <f t="shared" si="22"/>
        <v>150000</v>
      </c>
      <c r="S41" s="8">
        <f t="shared" si="22"/>
        <v>500000</v>
      </c>
      <c r="T41" s="8">
        <f t="shared" si="22"/>
        <v>0</v>
      </c>
    </row>
    <row r="42" spans="1:26" ht="12.75" customHeight="1" x14ac:dyDescent="0.2">
      <c r="A42" s="7"/>
      <c r="C42" s="107" t="s">
        <v>62</v>
      </c>
      <c r="D42" s="108" t="s">
        <v>5</v>
      </c>
      <c r="E42" s="109" t="s">
        <v>4</v>
      </c>
      <c r="G42" s="6"/>
      <c r="H42" s="13" t="s">
        <v>44</v>
      </c>
      <c r="J42" s="120">
        <v>482512</v>
      </c>
      <c r="K42" s="120">
        <v>0</v>
      </c>
      <c r="L42" s="120">
        <v>0</v>
      </c>
      <c r="M42" s="120">
        <v>471750</v>
      </c>
      <c r="N42" s="120">
        <v>0</v>
      </c>
      <c r="P42" s="8">
        <f t="shared" si="22"/>
        <v>482512</v>
      </c>
      <c r="Q42" s="8">
        <f t="shared" si="22"/>
        <v>0</v>
      </c>
      <c r="R42" s="8">
        <f t="shared" si="22"/>
        <v>0</v>
      </c>
      <c r="S42" s="8">
        <f t="shared" si="22"/>
        <v>471750</v>
      </c>
      <c r="T42" s="8">
        <f t="shared" si="22"/>
        <v>0</v>
      </c>
    </row>
    <row r="43" spans="1:26" ht="12.75" customHeight="1" x14ac:dyDescent="0.2">
      <c r="A43" s="7"/>
      <c r="C43" s="107" t="s">
        <v>64</v>
      </c>
      <c r="D43" s="108" t="s">
        <v>5</v>
      </c>
      <c r="E43" s="109" t="s">
        <v>4</v>
      </c>
      <c r="G43" s="6"/>
      <c r="H43" s="13" t="s">
        <v>44</v>
      </c>
      <c r="J43" s="120">
        <v>100000</v>
      </c>
      <c r="K43" s="120">
        <v>100000</v>
      </c>
      <c r="L43" s="120">
        <v>100000</v>
      </c>
      <c r="M43" s="120"/>
      <c r="N43" s="120"/>
      <c r="P43" s="8">
        <f t="shared" si="22"/>
        <v>100000</v>
      </c>
      <c r="Q43" s="8">
        <f t="shared" si="22"/>
        <v>100000</v>
      </c>
      <c r="R43" s="8">
        <f t="shared" si="22"/>
        <v>100000</v>
      </c>
      <c r="S43" s="8">
        <f t="shared" si="22"/>
        <v>0</v>
      </c>
      <c r="T43" s="8">
        <f t="shared" si="22"/>
        <v>0</v>
      </c>
    </row>
    <row r="44" spans="1:26" ht="12.75" customHeight="1" x14ac:dyDescent="0.25">
      <c r="F44" s="3"/>
      <c r="I44" s="3"/>
      <c r="O44" s="3"/>
      <c r="Y44"/>
    </row>
    <row r="45" spans="1:26" ht="12.75" customHeight="1" x14ac:dyDescent="0.25">
      <c r="F45" s="3"/>
      <c r="I45" s="3"/>
      <c r="O45" s="3"/>
      <c r="Y45"/>
    </row>
    <row r="46" spans="1:26" ht="12.75" customHeight="1" x14ac:dyDescent="0.25">
      <c r="C46" s="5" t="s">
        <v>13</v>
      </c>
      <c r="F46" s="3"/>
      <c r="I46" s="3"/>
      <c r="O46" s="3"/>
      <c r="Y46"/>
    </row>
    <row r="47" spans="1:26" ht="12.75" customHeight="1" x14ac:dyDescent="0.2">
      <c r="C47" s="28" t="s">
        <v>2</v>
      </c>
      <c r="D47" s="28" t="s">
        <v>5</v>
      </c>
      <c r="E47" s="28"/>
      <c r="F47" s="3"/>
      <c r="G47" s="28"/>
      <c r="H47" s="29"/>
      <c r="I47" s="3"/>
      <c r="J47" s="28"/>
      <c r="K47" s="28"/>
      <c r="L47" s="28"/>
      <c r="M47" s="28"/>
      <c r="N47" s="28"/>
      <c r="O47" s="3"/>
      <c r="P47" s="30">
        <f t="shared" ref="P47:T52" si="23">SUMIFS(P$10:P$43,$E$10:$E$43,$C47,$D$10:$D$43,$D47)</f>
        <v>3574350</v>
      </c>
      <c r="Q47" s="30">
        <f t="shared" si="23"/>
        <v>2413450</v>
      </c>
      <c r="R47" s="30">
        <f t="shared" si="23"/>
        <v>935196.60000000009</v>
      </c>
      <c r="S47" s="30">
        <f t="shared" si="23"/>
        <v>3525470</v>
      </c>
      <c r="T47" s="30">
        <f t="shared" si="23"/>
        <v>281060</v>
      </c>
    </row>
    <row r="48" spans="1:26" ht="12.75" customHeight="1" x14ac:dyDescent="0.2">
      <c r="C48" s="4" t="s">
        <v>1</v>
      </c>
      <c r="D48" s="4" t="s">
        <v>5</v>
      </c>
      <c r="E48" s="4"/>
      <c r="F48" s="3"/>
      <c r="G48" s="4"/>
      <c r="H48" s="13"/>
      <c r="I48" s="3"/>
      <c r="J48" s="4"/>
      <c r="K48" s="4"/>
      <c r="L48" s="4"/>
      <c r="M48" s="4"/>
      <c r="N48" s="4"/>
      <c r="O48" s="3"/>
      <c r="P48" s="9">
        <f t="shared" si="23"/>
        <v>325000</v>
      </c>
      <c r="Q48" s="9">
        <f t="shared" si="23"/>
        <v>1060000</v>
      </c>
      <c r="R48" s="9">
        <f t="shared" si="23"/>
        <v>500000</v>
      </c>
      <c r="S48" s="9">
        <f t="shared" si="23"/>
        <v>960000</v>
      </c>
      <c r="T48" s="9">
        <f t="shared" si="23"/>
        <v>75000</v>
      </c>
    </row>
    <row r="49" spans="3:22" ht="12.75" customHeight="1" x14ac:dyDescent="0.2">
      <c r="C49" s="4" t="s">
        <v>4</v>
      </c>
      <c r="D49" s="4" t="s">
        <v>5</v>
      </c>
      <c r="E49" s="4"/>
      <c r="F49" s="3"/>
      <c r="G49" s="4"/>
      <c r="H49" s="13"/>
      <c r="I49" s="3"/>
      <c r="J49" s="4"/>
      <c r="K49" s="4"/>
      <c r="L49" s="4"/>
      <c r="M49" s="4"/>
      <c r="N49" s="4"/>
      <c r="O49" s="3"/>
      <c r="P49" s="9">
        <f t="shared" si="23"/>
        <v>1332512</v>
      </c>
      <c r="Q49" s="9">
        <f t="shared" si="23"/>
        <v>1000000</v>
      </c>
      <c r="R49" s="9">
        <f t="shared" si="23"/>
        <v>485000</v>
      </c>
      <c r="S49" s="9">
        <f t="shared" si="23"/>
        <v>1446750</v>
      </c>
      <c r="T49" s="9">
        <f t="shared" si="23"/>
        <v>0</v>
      </c>
    </row>
    <row r="50" spans="3:22" ht="12.75" customHeight="1" x14ac:dyDescent="0.2">
      <c r="C50" s="4" t="s">
        <v>2</v>
      </c>
      <c r="D50" s="4" t="s">
        <v>41</v>
      </c>
      <c r="E50" s="4"/>
      <c r="F50" s="3"/>
      <c r="G50" s="4"/>
      <c r="H50" s="13"/>
      <c r="I50" s="3"/>
      <c r="J50" s="4"/>
      <c r="K50" s="4"/>
      <c r="L50" s="4"/>
      <c r="M50" s="4"/>
      <c r="N50" s="4"/>
      <c r="O50" s="3"/>
      <c r="P50" s="9">
        <f t="shared" si="23"/>
        <v>0</v>
      </c>
      <c r="Q50" s="9">
        <f t="shared" si="23"/>
        <v>0</v>
      </c>
      <c r="R50" s="9">
        <f t="shared" si="23"/>
        <v>0</v>
      </c>
      <c r="S50" s="9">
        <f t="shared" si="23"/>
        <v>0</v>
      </c>
      <c r="T50" s="9">
        <f t="shared" si="23"/>
        <v>0</v>
      </c>
    </row>
    <row r="51" spans="3:22" ht="12.75" customHeight="1" x14ac:dyDescent="0.2">
      <c r="C51" s="4" t="s">
        <v>1</v>
      </c>
      <c r="D51" s="4" t="s">
        <v>41</v>
      </c>
      <c r="E51" s="4"/>
      <c r="F51" s="3"/>
      <c r="G51" s="4"/>
      <c r="H51" s="13"/>
      <c r="I51" s="3"/>
      <c r="J51" s="4"/>
      <c r="K51" s="4"/>
      <c r="L51" s="4"/>
      <c r="M51" s="4"/>
      <c r="N51" s="4"/>
      <c r="O51" s="3"/>
      <c r="P51" s="9">
        <f t="shared" si="23"/>
        <v>0</v>
      </c>
      <c r="Q51" s="9">
        <f t="shared" si="23"/>
        <v>0</v>
      </c>
      <c r="R51" s="9">
        <f t="shared" si="23"/>
        <v>0</v>
      </c>
      <c r="S51" s="9">
        <f t="shared" si="23"/>
        <v>0</v>
      </c>
      <c r="T51" s="9">
        <f t="shared" si="23"/>
        <v>0</v>
      </c>
    </row>
    <row r="52" spans="3:22" ht="12.75" customHeight="1" x14ac:dyDescent="0.2">
      <c r="C52" s="4" t="s">
        <v>4</v>
      </c>
      <c r="D52" s="4" t="s">
        <v>41</v>
      </c>
      <c r="E52" s="7"/>
      <c r="F52" s="3"/>
      <c r="G52" s="7"/>
      <c r="H52" s="31"/>
      <c r="I52" s="3"/>
      <c r="J52" s="7"/>
      <c r="K52" s="7"/>
      <c r="L52" s="7"/>
      <c r="M52" s="7"/>
      <c r="N52" s="7"/>
      <c r="O52" s="3"/>
      <c r="P52" s="9">
        <f t="shared" si="23"/>
        <v>0</v>
      </c>
      <c r="Q52" s="9">
        <f t="shared" si="23"/>
        <v>0</v>
      </c>
      <c r="R52" s="9">
        <f t="shared" si="23"/>
        <v>0</v>
      </c>
      <c r="S52" s="9">
        <f t="shared" si="23"/>
        <v>0</v>
      </c>
      <c r="T52" s="9">
        <f t="shared" si="23"/>
        <v>0</v>
      </c>
    </row>
    <row r="53" spans="3:22" ht="12.75" customHeight="1" x14ac:dyDescent="0.2">
      <c r="C53" s="10" t="str">
        <f>"Total Expenditure ($ "&amp;Assumptions!$B$8&amp;")"</f>
        <v>Total Expenditure ($ 2018)</v>
      </c>
      <c r="D53" s="10"/>
      <c r="E53" s="10"/>
      <c r="F53" s="3"/>
      <c r="G53" s="10"/>
      <c r="H53" s="14"/>
      <c r="I53" s="3"/>
      <c r="J53" s="10"/>
      <c r="K53" s="10"/>
      <c r="L53" s="10"/>
      <c r="M53" s="10"/>
      <c r="N53" s="10"/>
      <c r="O53" s="3"/>
      <c r="P53" s="11">
        <f>SUM(P47:P52)</f>
        <v>5231862</v>
      </c>
      <c r="Q53" s="11">
        <f t="shared" ref="Q53:T53" si="24">SUM(Q47:Q52)</f>
        <v>4473450</v>
      </c>
      <c r="R53" s="11">
        <f t="shared" si="24"/>
        <v>1920196.6</v>
      </c>
      <c r="S53" s="11">
        <f>SUM(S47:S52)</f>
        <v>5932220</v>
      </c>
      <c r="T53" s="11">
        <f t="shared" si="24"/>
        <v>356060</v>
      </c>
      <c r="U53" s="43"/>
    </row>
    <row r="54" spans="3:22" ht="12.75" customHeight="1" x14ac:dyDescent="0.2">
      <c r="C54" s="28" t="str">
        <f>"Total Expenditure ($ "&amp;Assumptions!B17&amp;")"</f>
        <v>Total Expenditure ($ 2020/21)</v>
      </c>
      <c r="D54" s="28"/>
      <c r="E54" s="28"/>
      <c r="F54" s="3"/>
      <c r="G54" s="28"/>
      <c r="H54" s="29"/>
      <c r="I54" s="3"/>
      <c r="J54" s="28"/>
      <c r="K54" s="28"/>
      <c r="L54" s="28"/>
      <c r="M54" s="28"/>
      <c r="N54" s="28"/>
      <c r="O54" s="3"/>
      <c r="P54" s="44">
        <f>P53*Assumptions!$B$18</f>
        <v>5540767.9322711108</v>
      </c>
      <c r="Q54" s="44">
        <f>Q53*Assumptions!$B$18</f>
        <v>4737576.8524892675</v>
      </c>
      <c r="R54" s="44">
        <f>R53*Assumptions!$B$18</f>
        <v>2033571.1731188663</v>
      </c>
      <c r="S54" s="44">
        <f>S53*Assumptions!$B$18</f>
        <v>6282477.3174784295</v>
      </c>
      <c r="T54" s="44">
        <f>T53*Assumptions!$B$18</f>
        <v>377082.9257278674</v>
      </c>
      <c r="U54" s="43"/>
    </row>
    <row r="55" spans="3:22" ht="12.75" customHeight="1" x14ac:dyDescent="0.2">
      <c r="C55" s="100" t="s">
        <v>12</v>
      </c>
      <c r="D55" s="100"/>
      <c r="E55" s="100"/>
      <c r="F55" s="3"/>
      <c r="G55" s="100"/>
      <c r="H55" s="100"/>
      <c r="I55" s="3"/>
      <c r="J55" s="100"/>
      <c r="K55" s="100"/>
      <c r="L55" s="100"/>
      <c r="M55" s="100"/>
      <c r="N55" s="100"/>
      <c r="O55" s="3"/>
      <c r="P55" s="101">
        <f t="shared" ref="P55:V55" si="25">P53-SUM(P10:P43)</f>
        <v>0</v>
      </c>
      <c r="Q55" s="101">
        <f t="shared" si="25"/>
        <v>0</v>
      </c>
      <c r="R55" s="101">
        <f t="shared" si="25"/>
        <v>0</v>
      </c>
      <c r="S55" s="101">
        <f t="shared" si="25"/>
        <v>0</v>
      </c>
      <c r="T55" s="101">
        <f t="shared" si="25"/>
        <v>0</v>
      </c>
      <c r="U55" s="101">
        <f t="shared" si="25"/>
        <v>0</v>
      </c>
      <c r="V55" s="101">
        <f t="shared" si="25"/>
        <v>0</v>
      </c>
    </row>
    <row r="56" spans="3:22" ht="12.75" customHeight="1" x14ac:dyDescent="0.2">
      <c r="F56" s="3"/>
      <c r="I56" s="3"/>
      <c r="O56" s="3"/>
    </row>
    <row r="57" spans="3:22" ht="12.75" customHeight="1" x14ac:dyDescent="0.2">
      <c r="C57" s="127" t="str">
        <f>"NPV ($ "&amp;Assumptions!$B$17&amp;")"</f>
        <v>NPV ($ 2020/21)</v>
      </c>
      <c r="D57" s="128">
        <f>NPV(Assumptions!$B$6,$P$54:$T$54)</f>
        <v>17720149.978723116</v>
      </c>
      <c r="F57" s="3"/>
      <c r="I57" s="3"/>
      <c r="O57" s="3"/>
    </row>
    <row r="58" spans="3:22" ht="12.75" customHeight="1" x14ac:dyDescent="0.2">
      <c r="O58" s="3"/>
    </row>
    <row r="59" spans="3:22" ht="12.75" customHeight="1" x14ac:dyDescent="0.2">
      <c r="O59" s="3"/>
    </row>
    <row r="60" spans="3:22" ht="12.75" customHeight="1" x14ac:dyDescent="0.2"/>
    <row r="61" spans="3:22" ht="12.75" customHeight="1" x14ac:dyDescent="0.2"/>
    <row r="62" spans="3:22" ht="12.75" customHeight="1" x14ac:dyDescent="0.2"/>
  </sheetData>
  <conditionalFormatting sqref="P55:T55">
    <cfRule type="expression" dxfId="2" priority="4">
      <formula>ABS(P55)&gt;0.001</formula>
    </cfRule>
  </conditionalFormatting>
  <conditionalFormatting sqref="U55">
    <cfRule type="expression" dxfId="1" priority="2">
      <formula>ABS(U55)&gt;0.001</formula>
    </cfRule>
  </conditionalFormatting>
  <conditionalFormatting sqref="V55">
    <cfRule type="expression" dxfId="0" priority="1">
      <formula>ABS(V55)&gt;0.001</formula>
    </cfRule>
  </conditionalFormatting>
  <dataValidations count="2">
    <dataValidation type="list" allowBlank="1" showInputMessage="1" showErrorMessage="1" sqref="E10:E23 E36:E43 E26:E33">
      <formula1>"Labour, Materials, Contracts"</formula1>
    </dataValidation>
    <dataValidation type="list" allowBlank="1" showInputMessage="1" showErrorMessage="1" sqref="D10:D23 D36:D43 D26:D33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Output</vt:lpstr>
      <vt:lpstr>Summary</vt:lpstr>
      <vt:lpstr>Assumptions</vt:lpstr>
      <vt:lpstr>Option 1</vt:lpstr>
      <vt:lpstr>Option 2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2019-11-18T04:11:52Z</dcterms:created>
  <dcterms:modified xsi:type="dcterms:W3CDTF">2020-01-22T05:49:21Z</dcterms:modified>
</cp:coreProperties>
</file>