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33750" windowHeight="16440"/>
  </bookViews>
  <sheets>
    <sheet name="Inputs" sheetId="1" r:id="rId1"/>
    <sheet name="Base Case" sheetId="2" r:id="rId2"/>
    <sheet name="Scenario A" sheetId="8" r:id="rId3"/>
    <sheet name="Scenario B" sheetId="9" r:id="rId4"/>
    <sheet name="Scenario C" sheetId="10" r:id="rId5"/>
    <sheet name="Scenario D" sheetId="11" r:id="rId6"/>
    <sheet name="Summary" sheetId="7" r:id="rId7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46" i="11" l="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L175" i="1" l="1"/>
  <c r="L174" i="1"/>
  <c r="L173" i="1"/>
  <c r="T27" i="2" l="1"/>
  <c r="T27" i="10" s="1"/>
  <c r="K10" i="1"/>
  <c r="T28" i="2"/>
  <c r="T28" i="8" s="1"/>
  <c r="T34" i="11"/>
  <c r="T46" i="11"/>
  <c r="T45" i="11"/>
  <c r="T43" i="11"/>
  <c r="T42" i="11"/>
  <c r="T41" i="11"/>
  <c r="T40" i="11"/>
  <c r="T39" i="11"/>
  <c r="T38" i="11"/>
  <c r="T36" i="11"/>
  <c r="T35" i="11"/>
  <c r="T33" i="11"/>
  <c r="T32" i="11"/>
  <c r="T31" i="11"/>
  <c r="T30" i="11"/>
  <c r="T29" i="11"/>
  <c r="T26" i="11"/>
  <c r="T25" i="11"/>
  <c r="T24" i="11"/>
  <c r="T23" i="11"/>
  <c r="T22" i="11"/>
  <c r="T21" i="11"/>
  <c r="T20" i="11"/>
  <c r="T19" i="11"/>
  <c r="T18" i="11"/>
  <c r="T17" i="11"/>
  <c r="T46" i="10"/>
  <c r="T45" i="10"/>
  <c r="T43" i="10"/>
  <c r="T42" i="10"/>
  <c r="T41" i="10"/>
  <c r="T40" i="10"/>
  <c r="T39" i="10"/>
  <c r="T38" i="10"/>
  <c r="T36" i="10"/>
  <c r="T35" i="10"/>
  <c r="T33" i="10"/>
  <c r="T32" i="10"/>
  <c r="T31" i="10"/>
  <c r="T30" i="10"/>
  <c r="T29" i="10"/>
  <c r="T26" i="10"/>
  <c r="T25" i="10"/>
  <c r="T24" i="10"/>
  <c r="T23" i="10"/>
  <c r="T22" i="10"/>
  <c r="T21" i="10"/>
  <c r="T20" i="10"/>
  <c r="T19" i="10"/>
  <c r="T18" i="10"/>
  <c r="T17" i="10"/>
  <c r="T46" i="9"/>
  <c r="T45" i="9"/>
  <c r="T43" i="9"/>
  <c r="T42" i="9"/>
  <c r="T41" i="9"/>
  <c r="T40" i="9"/>
  <c r="T39" i="9"/>
  <c r="T38" i="9"/>
  <c r="T36" i="9"/>
  <c r="T35" i="9"/>
  <c r="T34" i="9"/>
  <c r="T33" i="9"/>
  <c r="T32" i="9"/>
  <c r="T31" i="9"/>
  <c r="T30" i="9"/>
  <c r="T29" i="9"/>
  <c r="T26" i="9"/>
  <c r="T25" i="9"/>
  <c r="T24" i="9"/>
  <c r="T23" i="9"/>
  <c r="T22" i="9"/>
  <c r="T21" i="9"/>
  <c r="T20" i="9"/>
  <c r="T19" i="9"/>
  <c r="T18" i="9"/>
  <c r="T17" i="9"/>
  <c r="T46" i="8"/>
  <c r="T45" i="8"/>
  <c r="T43" i="8"/>
  <c r="T42" i="8"/>
  <c r="T41" i="8"/>
  <c r="T40" i="8"/>
  <c r="T39" i="8"/>
  <c r="T38" i="8"/>
  <c r="T36" i="8"/>
  <c r="T35" i="8"/>
  <c r="T33" i="8"/>
  <c r="T32" i="8"/>
  <c r="T31" i="8"/>
  <c r="T30" i="8"/>
  <c r="T29" i="8"/>
  <c r="T26" i="8"/>
  <c r="T25" i="8"/>
  <c r="T24" i="8"/>
  <c r="T23" i="8"/>
  <c r="T22" i="8"/>
  <c r="T21" i="8"/>
  <c r="T20" i="8"/>
  <c r="T19" i="8"/>
  <c r="T18" i="8"/>
  <c r="T17" i="8"/>
  <c r="U187" i="1"/>
  <c r="T187" i="1"/>
  <c r="S187" i="1"/>
  <c r="R187" i="1"/>
  <c r="Q187" i="1"/>
  <c r="P187" i="1"/>
  <c r="O187" i="1"/>
  <c r="T28" i="10" l="1"/>
  <c r="T27" i="11"/>
  <c r="T28" i="9"/>
  <c r="T27" i="8"/>
  <c r="T28" i="11"/>
  <c r="T27" i="9"/>
  <c r="P193" i="1"/>
  <c r="P194" i="1"/>
  <c r="P195" i="1"/>
  <c r="P196" i="1"/>
  <c r="P192" i="1"/>
  <c r="T193" i="1"/>
  <c r="T194" i="1"/>
  <c r="T195" i="1"/>
  <c r="T196" i="1"/>
  <c r="T192" i="1"/>
  <c r="R195" i="1"/>
  <c r="R196" i="1"/>
  <c r="R192" i="1"/>
  <c r="R193" i="1"/>
  <c r="R194" i="1"/>
  <c r="Q194" i="1"/>
  <c r="Q195" i="1"/>
  <c r="Q196" i="1"/>
  <c r="Q192" i="1"/>
  <c r="Q193" i="1"/>
  <c r="U194" i="1"/>
  <c r="U195" i="1"/>
  <c r="U196" i="1"/>
  <c r="U192" i="1"/>
  <c r="U193" i="1"/>
  <c r="O196" i="1"/>
  <c r="O192" i="1"/>
  <c r="O195" i="1"/>
  <c r="O194" i="1"/>
  <c r="O193" i="1"/>
  <c r="S196" i="1"/>
  <c r="S192" i="1"/>
  <c r="S193" i="1"/>
  <c r="S194" i="1"/>
  <c r="S195" i="1"/>
  <c r="T44" i="2"/>
  <c r="T37" i="2" s="1"/>
  <c r="T37" i="9" s="1"/>
  <c r="T34" i="10"/>
  <c r="T34" i="8"/>
  <c r="T37" i="11" l="1"/>
  <c r="T37" i="10"/>
  <c r="T37" i="8"/>
  <c r="T44" i="8"/>
  <c r="T44" i="11"/>
  <c r="T44" i="10"/>
  <c r="T44" i="9"/>
  <c r="E88" i="8"/>
  <c r="E91" i="8" s="1"/>
  <c r="E94" i="8" s="1"/>
  <c r="E97" i="8" s="1"/>
  <c r="E89" i="8"/>
  <c r="E92" i="8" s="1"/>
  <c r="E95" i="8" s="1"/>
  <c r="E98" i="8" s="1"/>
  <c r="E90" i="8"/>
  <c r="E93" i="8" s="1"/>
  <c r="E96" i="8" s="1"/>
  <c r="E99" i="8" s="1"/>
  <c r="E88" i="9"/>
  <c r="E91" i="9" s="1"/>
  <c r="E94" i="9" s="1"/>
  <c r="E97" i="9" s="1"/>
  <c r="E89" i="9"/>
  <c r="E92" i="9" s="1"/>
  <c r="E95" i="9" s="1"/>
  <c r="E98" i="9" s="1"/>
  <c r="E90" i="9"/>
  <c r="E93" i="9" s="1"/>
  <c r="E96" i="9" s="1"/>
  <c r="E99" i="9" s="1"/>
  <c r="E88" i="10"/>
  <c r="E91" i="10" s="1"/>
  <c r="E94" i="10" s="1"/>
  <c r="E97" i="10" s="1"/>
  <c r="E89" i="10"/>
  <c r="E92" i="10" s="1"/>
  <c r="E95" i="10" s="1"/>
  <c r="E98" i="10" s="1"/>
  <c r="E90" i="10"/>
  <c r="E93" i="10" s="1"/>
  <c r="E96" i="10" s="1"/>
  <c r="E99" i="10" s="1"/>
  <c r="E88" i="11"/>
  <c r="E91" i="11" s="1"/>
  <c r="E94" i="11" s="1"/>
  <c r="E97" i="11" s="1"/>
  <c r="E89" i="11"/>
  <c r="E92" i="11" s="1"/>
  <c r="E95" i="11" s="1"/>
  <c r="E98" i="11" s="1"/>
  <c r="E90" i="11"/>
  <c r="E93" i="11" s="1"/>
  <c r="E96" i="11" s="1"/>
  <c r="E99" i="11" s="1"/>
  <c r="E88" i="2" l="1"/>
  <c r="J60" i="10" l="1"/>
  <c r="J59" i="10"/>
  <c r="I17" i="7"/>
  <c r="I15" i="7"/>
  <c r="I13" i="7"/>
  <c r="I11" i="7"/>
  <c r="D135" i="11"/>
  <c r="D123" i="11"/>
  <c r="D121" i="11"/>
  <c r="D120" i="11"/>
  <c r="D119" i="11"/>
  <c r="D116" i="11"/>
  <c r="D115" i="11"/>
  <c r="D114" i="11"/>
  <c r="C113" i="11"/>
  <c r="J107" i="11"/>
  <c r="J106" i="11"/>
  <c r="J105" i="11"/>
  <c r="J121" i="11" s="1"/>
  <c r="J126" i="11" s="1"/>
  <c r="J104" i="11"/>
  <c r="J120" i="11" s="1"/>
  <c r="J103" i="11"/>
  <c r="J119" i="11" s="1"/>
  <c r="C75" i="11"/>
  <c r="D90" i="11"/>
  <c r="B73" i="11"/>
  <c r="J71" i="11"/>
  <c r="D71" i="11"/>
  <c r="J70" i="11"/>
  <c r="J69" i="11"/>
  <c r="C68" i="11"/>
  <c r="B66" i="11"/>
  <c r="J64" i="11"/>
  <c r="J63" i="11"/>
  <c r="J62" i="11"/>
  <c r="J61" i="11"/>
  <c r="J60" i="11"/>
  <c r="J59" i="11"/>
  <c r="J58" i="11"/>
  <c r="A54" i="11"/>
  <c r="I51" i="11"/>
  <c r="I50" i="11"/>
  <c r="I49" i="11"/>
  <c r="V46" i="11"/>
  <c r="U46" i="11"/>
  <c r="I46" i="11"/>
  <c r="V45" i="11"/>
  <c r="U45" i="11"/>
  <c r="I45" i="11"/>
  <c r="I44" i="11"/>
  <c r="V43" i="11"/>
  <c r="U43" i="11"/>
  <c r="I43" i="11"/>
  <c r="I42" i="11"/>
  <c r="I41" i="11"/>
  <c r="I40" i="11"/>
  <c r="I39" i="11"/>
  <c r="I38" i="11"/>
  <c r="V37" i="11"/>
  <c r="I37" i="11"/>
  <c r="V36" i="11"/>
  <c r="U36" i="11"/>
  <c r="I36" i="11"/>
  <c r="V35" i="11"/>
  <c r="U35" i="11"/>
  <c r="I35" i="11"/>
  <c r="I34" i="11"/>
  <c r="V33" i="11"/>
  <c r="U33" i="11"/>
  <c r="I33" i="11"/>
  <c r="I32" i="11"/>
  <c r="I31" i="11"/>
  <c r="I30" i="11"/>
  <c r="I29" i="11"/>
  <c r="I28" i="11"/>
  <c r="V27" i="11"/>
  <c r="I27" i="11"/>
  <c r="V26" i="11"/>
  <c r="U26" i="11"/>
  <c r="I26" i="11"/>
  <c r="V25" i="11"/>
  <c r="U25" i="11"/>
  <c r="I25" i="11"/>
  <c r="V24" i="11"/>
  <c r="U24" i="11"/>
  <c r="I24" i="11"/>
  <c r="V23" i="11"/>
  <c r="U23" i="11"/>
  <c r="I23" i="11"/>
  <c r="I22" i="11"/>
  <c r="I21" i="11"/>
  <c r="I20" i="11"/>
  <c r="I19" i="11"/>
  <c r="I18" i="11"/>
  <c r="V17" i="11"/>
  <c r="I17" i="11"/>
  <c r="A4" i="11"/>
  <c r="A2" i="11"/>
  <c r="D135" i="10"/>
  <c r="D123" i="10"/>
  <c r="D121" i="10"/>
  <c r="D120" i="10"/>
  <c r="D119" i="10"/>
  <c r="D116" i="10"/>
  <c r="D115" i="10"/>
  <c r="D114" i="10"/>
  <c r="C113" i="10"/>
  <c r="J107" i="10"/>
  <c r="J106" i="10"/>
  <c r="J105" i="10"/>
  <c r="J121" i="10" s="1"/>
  <c r="J126" i="10" s="1"/>
  <c r="J104" i="10"/>
  <c r="J120" i="10" s="1"/>
  <c r="J103" i="10"/>
  <c r="J119" i="10" s="1"/>
  <c r="D90" i="10"/>
  <c r="C75" i="10"/>
  <c r="B73" i="10"/>
  <c r="J71" i="10"/>
  <c r="D71" i="10"/>
  <c r="J70" i="10"/>
  <c r="J69" i="10"/>
  <c r="C68" i="10"/>
  <c r="B66" i="10"/>
  <c r="J64" i="10"/>
  <c r="J63" i="10"/>
  <c r="J62" i="10"/>
  <c r="J61" i="10"/>
  <c r="J58" i="10"/>
  <c r="A54" i="10"/>
  <c r="I51" i="10"/>
  <c r="I50" i="10"/>
  <c r="I49" i="10"/>
  <c r="V46" i="10"/>
  <c r="U46" i="10"/>
  <c r="I46" i="10"/>
  <c r="V45" i="10"/>
  <c r="U45" i="10"/>
  <c r="I45" i="10"/>
  <c r="I44" i="10"/>
  <c r="V43" i="10"/>
  <c r="U43" i="10"/>
  <c r="I43" i="10"/>
  <c r="I42" i="10"/>
  <c r="I41" i="10"/>
  <c r="I40" i="10"/>
  <c r="I39" i="10"/>
  <c r="I38" i="10"/>
  <c r="V37" i="10"/>
  <c r="I37" i="10"/>
  <c r="V36" i="10"/>
  <c r="U36" i="10"/>
  <c r="I36" i="10"/>
  <c r="V35" i="10"/>
  <c r="U35" i="10"/>
  <c r="I35" i="10"/>
  <c r="I34" i="10"/>
  <c r="V33" i="10"/>
  <c r="U33" i="10"/>
  <c r="I33" i="10"/>
  <c r="I32" i="10"/>
  <c r="I31" i="10"/>
  <c r="I30" i="10"/>
  <c r="I29" i="10"/>
  <c r="I28" i="10"/>
  <c r="V27" i="10"/>
  <c r="I27" i="10"/>
  <c r="V26" i="10"/>
  <c r="U26" i="10"/>
  <c r="I26" i="10"/>
  <c r="V25" i="10"/>
  <c r="U25" i="10"/>
  <c r="I25" i="10"/>
  <c r="V24" i="10"/>
  <c r="U24" i="10"/>
  <c r="I24" i="10"/>
  <c r="V23" i="10"/>
  <c r="U23" i="10"/>
  <c r="I23" i="10"/>
  <c r="I22" i="10"/>
  <c r="I21" i="10"/>
  <c r="I20" i="10"/>
  <c r="I19" i="10"/>
  <c r="I18" i="10"/>
  <c r="V17" i="10"/>
  <c r="I17" i="10"/>
  <c r="A4" i="10"/>
  <c r="A2" i="10"/>
  <c r="D135" i="9"/>
  <c r="D123" i="9"/>
  <c r="D121" i="9"/>
  <c r="D120" i="9"/>
  <c r="D119" i="9"/>
  <c r="D116" i="9"/>
  <c r="D115" i="9"/>
  <c r="D114" i="9"/>
  <c r="C113" i="9"/>
  <c r="J107" i="9"/>
  <c r="J106" i="9"/>
  <c r="J105" i="9"/>
  <c r="J121" i="9" s="1"/>
  <c r="J126" i="9" s="1"/>
  <c r="J104" i="9"/>
  <c r="J120" i="9" s="1"/>
  <c r="J103" i="9"/>
  <c r="J119" i="9" s="1"/>
  <c r="C75" i="9"/>
  <c r="D90" i="9"/>
  <c r="B73" i="9"/>
  <c r="J71" i="9"/>
  <c r="D71" i="9"/>
  <c r="J70" i="9"/>
  <c r="J69" i="9"/>
  <c r="C68" i="9"/>
  <c r="B66" i="9"/>
  <c r="J64" i="9"/>
  <c r="J63" i="9"/>
  <c r="J62" i="9"/>
  <c r="J61" i="9"/>
  <c r="J60" i="9"/>
  <c r="J59" i="9"/>
  <c r="J58" i="9"/>
  <c r="A54" i="9"/>
  <c r="I51" i="9"/>
  <c r="I50" i="9"/>
  <c r="I49" i="9"/>
  <c r="V46" i="9"/>
  <c r="U46" i="9"/>
  <c r="I46" i="9"/>
  <c r="V45" i="9"/>
  <c r="U45" i="9"/>
  <c r="I45" i="9"/>
  <c r="I44" i="9"/>
  <c r="V43" i="9"/>
  <c r="U43" i="9"/>
  <c r="I43" i="9"/>
  <c r="I42" i="9"/>
  <c r="I41" i="9"/>
  <c r="I40" i="9"/>
  <c r="I39" i="9"/>
  <c r="I38" i="9"/>
  <c r="V37" i="9"/>
  <c r="I37" i="9"/>
  <c r="V36" i="9"/>
  <c r="U36" i="9"/>
  <c r="I36" i="9"/>
  <c r="V35" i="9"/>
  <c r="U35" i="9"/>
  <c r="I35" i="9"/>
  <c r="I34" i="9"/>
  <c r="V33" i="9"/>
  <c r="U33" i="9"/>
  <c r="I33" i="9"/>
  <c r="I32" i="9"/>
  <c r="I31" i="9"/>
  <c r="I30" i="9"/>
  <c r="I29" i="9"/>
  <c r="I28" i="9"/>
  <c r="V27" i="9"/>
  <c r="I27" i="9"/>
  <c r="V26" i="9"/>
  <c r="U26" i="9"/>
  <c r="I26" i="9"/>
  <c r="V25" i="9"/>
  <c r="U25" i="9"/>
  <c r="I25" i="9"/>
  <c r="V24" i="9"/>
  <c r="U24" i="9"/>
  <c r="I24" i="9"/>
  <c r="V23" i="9"/>
  <c r="U23" i="9"/>
  <c r="I23" i="9"/>
  <c r="I22" i="9"/>
  <c r="I21" i="9"/>
  <c r="I20" i="9"/>
  <c r="I19" i="9"/>
  <c r="I18" i="9"/>
  <c r="V17" i="9"/>
  <c r="I17" i="9"/>
  <c r="A4" i="9"/>
  <c r="A2" i="9"/>
  <c r="D135" i="8"/>
  <c r="D123" i="8"/>
  <c r="D121" i="8"/>
  <c r="D120" i="8"/>
  <c r="D119" i="8"/>
  <c r="D116" i="8"/>
  <c r="D115" i="8"/>
  <c r="D114" i="8"/>
  <c r="C113" i="8"/>
  <c r="J107" i="8"/>
  <c r="J106" i="8"/>
  <c r="J105" i="8"/>
  <c r="J121" i="8" s="1"/>
  <c r="J126" i="8" s="1"/>
  <c r="J104" i="8"/>
  <c r="J120" i="8" s="1"/>
  <c r="J103" i="8"/>
  <c r="J119" i="8" s="1"/>
  <c r="C75" i="8"/>
  <c r="D90" i="8"/>
  <c r="D87" i="8"/>
  <c r="D102" i="8" s="1"/>
  <c r="B73" i="8"/>
  <c r="J71" i="8"/>
  <c r="D71" i="8"/>
  <c r="J70" i="8"/>
  <c r="J69" i="8"/>
  <c r="C68" i="8"/>
  <c r="B66" i="8"/>
  <c r="J64" i="8"/>
  <c r="J63" i="8"/>
  <c r="J62" i="8"/>
  <c r="J61" i="8"/>
  <c r="J60" i="8"/>
  <c r="J59" i="8"/>
  <c r="J58" i="8"/>
  <c r="A54" i="8"/>
  <c r="I51" i="8"/>
  <c r="I50" i="8"/>
  <c r="I49" i="8"/>
  <c r="V46" i="8"/>
  <c r="U46" i="8"/>
  <c r="I46" i="8"/>
  <c r="V45" i="8"/>
  <c r="U45" i="8"/>
  <c r="I45" i="8"/>
  <c r="I44" i="8"/>
  <c r="V43" i="8"/>
  <c r="U43" i="8"/>
  <c r="I43" i="8"/>
  <c r="I42" i="8"/>
  <c r="I41" i="8"/>
  <c r="I40" i="8"/>
  <c r="I39" i="8"/>
  <c r="I38" i="8"/>
  <c r="V37" i="8"/>
  <c r="I37" i="8"/>
  <c r="V36" i="8"/>
  <c r="U36" i="8"/>
  <c r="I36" i="8"/>
  <c r="V35" i="8"/>
  <c r="U35" i="8"/>
  <c r="I35" i="8"/>
  <c r="I34" i="8"/>
  <c r="V33" i="8"/>
  <c r="U33" i="8"/>
  <c r="I33" i="8"/>
  <c r="I32" i="8"/>
  <c r="I31" i="8"/>
  <c r="I30" i="8"/>
  <c r="I29" i="8"/>
  <c r="I28" i="8"/>
  <c r="V27" i="8"/>
  <c r="I27" i="8"/>
  <c r="V26" i="8"/>
  <c r="U26" i="8"/>
  <c r="I26" i="8"/>
  <c r="V25" i="8"/>
  <c r="U25" i="8"/>
  <c r="I25" i="8"/>
  <c r="V24" i="8"/>
  <c r="U24" i="8"/>
  <c r="I24" i="8"/>
  <c r="V23" i="8"/>
  <c r="U23" i="8"/>
  <c r="I23" i="8"/>
  <c r="I22" i="8"/>
  <c r="I21" i="8"/>
  <c r="I20" i="8"/>
  <c r="I19" i="8"/>
  <c r="I18" i="8"/>
  <c r="V17" i="8"/>
  <c r="I17" i="8"/>
  <c r="A4" i="8"/>
  <c r="A2" i="8"/>
  <c r="D93" i="9" l="1"/>
  <c r="D105" i="9" s="1"/>
  <c r="D93" i="11"/>
  <c r="D105" i="11" s="1"/>
  <c r="D96" i="11"/>
  <c r="D106" i="11" s="1"/>
  <c r="D96" i="9"/>
  <c r="D106" i="9" s="1"/>
  <c r="D93" i="10"/>
  <c r="D105" i="10" s="1"/>
  <c r="D87" i="11"/>
  <c r="D102" i="11" s="1"/>
  <c r="D99" i="11"/>
  <c r="D107" i="11" s="1"/>
  <c r="D87" i="9"/>
  <c r="D102" i="9" s="1"/>
  <c r="D99" i="9"/>
  <c r="D107" i="9" s="1"/>
  <c r="D96" i="10"/>
  <c r="D106" i="10" s="1"/>
  <c r="D87" i="10"/>
  <c r="D102" i="10" s="1"/>
  <c r="D99" i="10"/>
  <c r="D107" i="10" s="1"/>
  <c r="D96" i="8"/>
  <c r="D106" i="8" s="1"/>
  <c r="D99" i="8"/>
  <c r="D107" i="8" s="1"/>
  <c r="D93" i="8"/>
  <c r="D105" i="8" s="1"/>
  <c r="D104" i="11"/>
  <c r="D103" i="11"/>
  <c r="J122" i="11"/>
  <c r="J124" i="11"/>
  <c r="J125" i="11"/>
  <c r="J123" i="11"/>
  <c r="D104" i="10"/>
  <c r="D103" i="10"/>
  <c r="J125" i="10"/>
  <c r="J123" i="10"/>
  <c r="J122" i="10"/>
  <c r="J124" i="10"/>
  <c r="D104" i="9"/>
  <c r="D103" i="9"/>
  <c r="J122" i="9"/>
  <c r="J124" i="9"/>
  <c r="J125" i="9"/>
  <c r="J123" i="9"/>
  <c r="D104" i="8"/>
  <c r="D103" i="8"/>
  <c r="J122" i="8"/>
  <c r="J124" i="8"/>
  <c r="J125" i="8"/>
  <c r="J123" i="8"/>
  <c r="L148" i="1"/>
  <c r="D123" i="2"/>
  <c r="I18" i="7" l="1"/>
  <c r="I16" i="7"/>
  <c r="I14" i="7"/>
  <c r="I12" i="7"/>
  <c r="I9" i="7"/>
  <c r="D135" i="2"/>
  <c r="D116" i="2"/>
  <c r="D115" i="2"/>
  <c r="D114" i="2"/>
  <c r="C113" i="2"/>
  <c r="J107" i="2"/>
  <c r="J106" i="2"/>
  <c r="J105" i="2"/>
  <c r="J121" i="2" s="1"/>
  <c r="J126" i="2" s="1"/>
  <c r="J104" i="2"/>
  <c r="J103" i="2"/>
  <c r="J119" i="2" s="1"/>
  <c r="C75" i="2"/>
  <c r="B73" i="2"/>
  <c r="J71" i="2"/>
  <c r="D71" i="2"/>
  <c r="J70" i="2"/>
  <c r="J69" i="2"/>
  <c r="C68" i="2"/>
  <c r="B66" i="2"/>
  <c r="J64" i="2"/>
  <c r="J63" i="2"/>
  <c r="J62" i="2"/>
  <c r="J61" i="2"/>
  <c r="J60" i="2"/>
  <c r="J59" i="2"/>
  <c r="J58" i="2"/>
  <c r="I51" i="2"/>
  <c r="I50" i="2"/>
  <c r="I49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D12" i="7"/>
  <c r="D14" i="7" s="1"/>
  <c r="D16" i="7" s="1"/>
  <c r="D18" i="7" s="1"/>
  <c r="D11" i="7"/>
  <c r="D13" i="7" s="1"/>
  <c r="D15" i="7" s="1"/>
  <c r="D17" i="7" s="1"/>
  <c r="I10" i="7"/>
  <c r="A2" i="7"/>
  <c r="D121" i="2"/>
  <c r="D120" i="2"/>
  <c r="D119" i="2"/>
  <c r="J120" i="2"/>
  <c r="E91" i="2"/>
  <c r="E94" i="2" s="1"/>
  <c r="E97" i="2" s="1"/>
  <c r="E90" i="2"/>
  <c r="E93" i="2" s="1"/>
  <c r="E96" i="2" s="1"/>
  <c r="E99" i="2" s="1"/>
  <c r="E89" i="2"/>
  <c r="E92" i="2" s="1"/>
  <c r="E95" i="2" s="1"/>
  <c r="E98" i="2" s="1"/>
  <c r="D99" i="2"/>
  <c r="D107" i="2" s="1"/>
  <c r="D96" i="2"/>
  <c r="D106" i="2" s="1"/>
  <c r="D93" i="2"/>
  <c r="D105" i="2" s="1"/>
  <c r="D90" i="2"/>
  <c r="D104" i="2" s="1"/>
  <c r="D87" i="2"/>
  <c r="D102" i="2" s="1"/>
  <c r="A54" i="2"/>
  <c r="V46" i="2"/>
  <c r="U46" i="2"/>
  <c r="V45" i="2"/>
  <c r="U45" i="2"/>
  <c r="V43" i="2"/>
  <c r="U43" i="2"/>
  <c r="V37" i="2"/>
  <c r="V36" i="2"/>
  <c r="U36" i="2"/>
  <c r="V35" i="2"/>
  <c r="U35" i="2"/>
  <c r="V33" i="2"/>
  <c r="U33" i="2"/>
  <c r="V27" i="2"/>
  <c r="V26" i="2"/>
  <c r="U26" i="2"/>
  <c r="V25" i="2"/>
  <c r="U25" i="2"/>
  <c r="V24" i="2"/>
  <c r="U24" i="2"/>
  <c r="V23" i="2"/>
  <c r="U23" i="2"/>
  <c r="V17" i="2"/>
  <c r="A4" i="2"/>
  <c r="A2" i="2"/>
  <c r="D186" i="1"/>
  <c r="D185" i="1"/>
  <c r="D69" i="2" s="1"/>
  <c r="D175" i="1"/>
  <c r="D174" i="1"/>
  <c r="D173" i="1"/>
  <c r="J128" i="1"/>
  <c r="J117" i="1"/>
  <c r="L103" i="1"/>
  <c r="L100" i="1"/>
  <c r="L99" i="1"/>
  <c r="M125" i="1" s="1"/>
  <c r="M148" i="1" s="1"/>
  <c r="L172" i="1" s="1"/>
  <c r="K99" i="1"/>
  <c r="K125" i="1" s="1"/>
  <c r="K148" i="1" s="1"/>
  <c r="K172" i="1" s="1"/>
  <c r="J99" i="1"/>
  <c r="J125" i="1" s="1"/>
  <c r="J148" i="1" s="1"/>
  <c r="J172" i="1" s="1"/>
  <c r="J75" i="1"/>
  <c r="K75" i="1" s="1"/>
  <c r="D57" i="1"/>
  <c r="D56" i="1"/>
  <c r="D55" i="1"/>
  <c r="D54" i="1"/>
  <c r="D53" i="1"/>
  <c r="O44" i="1"/>
  <c r="N44" i="1"/>
  <c r="M44" i="1"/>
  <c r="L44" i="1"/>
  <c r="K44" i="1"/>
  <c r="J44" i="1"/>
  <c r="O43" i="1"/>
  <c r="O52" i="1" s="1"/>
  <c r="N43" i="1"/>
  <c r="N52" i="1" s="1"/>
  <c r="D13" i="2" s="1"/>
  <c r="M43" i="1"/>
  <c r="M52" i="1" s="1"/>
  <c r="D12" i="2" s="1"/>
  <c r="L43" i="1"/>
  <c r="L52" i="1" s="1"/>
  <c r="K43" i="1"/>
  <c r="K52" i="1" s="1"/>
  <c r="J43" i="1"/>
  <c r="J52" i="1" s="1"/>
  <c r="D9" i="2" s="1"/>
  <c r="I9" i="2" s="1"/>
  <c r="C26" i="1"/>
  <c r="J21" i="1"/>
  <c r="C21" i="1"/>
  <c r="P16" i="1"/>
  <c r="O2" i="1"/>
  <c r="O2" i="2" s="1"/>
  <c r="O146" i="2" s="1"/>
  <c r="A2" i="1"/>
  <c r="A1" i="1"/>
  <c r="I12" i="2" l="1"/>
  <c r="P71" i="2" s="1"/>
  <c r="P78" i="2" s="1"/>
  <c r="I13" i="2"/>
  <c r="R71" i="2"/>
  <c r="R78" i="2" s="1"/>
  <c r="S71" i="2"/>
  <c r="T71" i="2"/>
  <c r="T78" i="2" s="1"/>
  <c r="Q71" i="2"/>
  <c r="Q78" i="2" s="1"/>
  <c r="D11" i="11"/>
  <c r="D11" i="10"/>
  <c r="D11" i="9"/>
  <c r="D11" i="8"/>
  <c r="V187" i="1"/>
  <c r="A1" i="2"/>
  <c r="A1" i="11"/>
  <c r="A1" i="10"/>
  <c r="A1" i="9"/>
  <c r="A1" i="8"/>
  <c r="D10" i="11"/>
  <c r="D10" i="10"/>
  <c r="D10" i="9"/>
  <c r="D10" i="8"/>
  <c r="D14" i="10"/>
  <c r="D14" i="11"/>
  <c r="D14" i="9"/>
  <c r="D14" i="8"/>
  <c r="P2" i="1"/>
  <c r="O2" i="8"/>
  <c r="O146" i="8" s="1"/>
  <c r="O2" i="11"/>
  <c r="O146" i="11" s="1"/>
  <c r="O2" i="10"/>
  <c r="O146" i="10" s="1"/>
  <c r="O2" i="9"/>
  <c r="O146" i="9" s="1"/>
  <c r="D12" i="8"/>
  <c r="D12" i="11"/>
  <c r="D12" i="10"/>
  <c r="D12" i="9"/>
  <c r="D70" i="11"/>
  <c r="D70" i="9"/>
  <c r="D70" i="10"/>
  <c r="D70" i="8"/>
  <c r="D9" i="11"/>
  <c r="D9" i="10"/>
  <c r="D9" i="9"/>
  <c r="D9" i="8"/>
  <c r="D13" i="11"/>
  <c r="D13" i="10"/>
  <c r="D13" i="9"/>
  <c r="D13" i="8"/>
  <c r="D10" i="2"/>
  <c r="I10" i="2" s="1"/>
  <c r="D14" i="2"/>
  <c r="I14" i="2" s="1"/>
  <c r="D69" i="11"/>
  <c r="D69" i="9"/>
  <c r="D69" i="10"/>
  <c r="D69" i="8"/>
  <c r="D11" i="2"/>
  <c r="I11" i="2" s="1"/>
  <c r="D70" i="2"/>
  <c r="O2" i="7"/>
  <c r="O8" i="7" s="1"/>
  <c r="S78" i="2"/>
  <c r="L168" i="1"/>
  <c r="M75" i="1"/>
  <c r="J124" i="2"/>
  <c r="J122" i="2"/>
  <c r="J125" i="2"/>
  <c r="J123" i="2"/>
  <c r="A1" i="7"/>
  <c r="M74" i="1"/>
  <c r="M73" i="1"/>
  <c r="Z116" i="2"/>
  <c r="V116" i="2"/>
  <c r="R116" i="2"/>
  <c r="W115" i="2"/>
  <c r="S115" i="2"/>
  <c r="O115" i="2"/>
  <c r="X114" i="2"/>
  <c r="T114" i="2"/>
  <c r="P114" i="2"/>
  <c r="Y116" i="2"/>
  <c r="U116" i="2"/>
  <c r="Q116" i="2"/>
  <c r="Z115" i="2"/>
  <c r="V115" i="2"/>
  <c r="R115" i="2"/>
  <c r="W114" i="2"/>
  <c r="S114" i="2"/>
  <c r="O114" i="2"/>
  <c r="T116" i="2"/>
  <c r="T115" i="2"/>
  <c r="Z114" i="2"/>
  <c r="R114" i="2"/>
  <c r="S116" i="2"/>
  <c r="Y115" i="2"/>
  <c r="Q115" i="2"/>
  <c r="Y114" i="2"/>
  <c r="Q114" i="2"/>
  <c r="X116" i="2"/>
  <c r="P116" i="2"/>
  <c r="X115" i="2"/>
  <c r="P115" i="2"/>
  <c r="V114" i="2"/>
  <c r="W116" i="2"/>
  <c r="O116" i="2"/>
  <c r="U115" i="2"/>
  <c r="U114" i="2"/>
  <c r="P69" i="2"/>
  <c r="T69" i="2"/>
  <c r="R70" i="2"/>
  <c r="V70" i="2"/>
  <c r="Q69" i="2"/>
  <c r="U69" i="2"/>
  <c r="O70" i="2"/>
  <c r="S70" i="2"/>
  <c r="R69" i="2"/>
  <c r="V69" i="2"/>
  <c r="P70" i="2"/>
  <c r="T70" i="2"/>
  <c r="O69" i="2"/>
  <c r="S69" i="2"/>
  <c r="W69" i="2"/>
  <c r="Q70" i="2"/>
  <c r="U70" i="2"/>
  <c r="D103" i="2"/>
  <c r="K57" i="1"/>
  <c r="K54" i="1"/>
  <c r="K55" i="1"/>
  <c r="K56" i="1"/>
  <c r="M55" i="1"/>
  <c r="M56" i="1"/>
  <c r="M57" i="1"/>
  <c r="M54" i="1"/>
  <c r="J56" i="1"/>
  <c r="J57" i="1"/>
  <c r="J54" i="1"/>
  <c r="J55" i="1"/>
  <c r="O57" i="1"/>
  <c r="O54" i="1"/>
  <c r="O55" i="1"/>
  <c r="O56" i="1"/>
  <c r="N56" i="1"/>
  <c r="N57" i="1"/>
  <c r="N54" i="1"/>
  <c r="N55" i="1"/>
  <c r="L54" i="1"/>
  <c r="L55" i="1"/>
  <c r="L56" i="1"/>
  <c r="L57" i="1"/>
  <c r="L169" i="1"/>
  <c r="M71" i="1"/>
  <c r="Q16" i="1"/>
  <c r="M72" i="1"/>
  <c r="L170" i="1"/>
  <c r="O71" i="2" l="1"/>
  <c r="O78" i="2" s="1"/>
  <c r="U71" i="2"/>
  <c r="U78" i="2" s="1"/>
  <c r="L177" i="1"/>
  <c r="L178" i="1" s="1"/>
  <c r="P18" i="8" s="1"/>
  <c r="P51" i="8" s="1"/>
  <c r="W187" i="1"/>
  <c r="P18" i="11"/>
  <c r="P51" i="11" s="1"/>
  <c r="P18" i="2"/>
  <c r="P51" i="2" s="1"/>
  <c r="I13" i="10"/>
  <c r="I9" i="10"/>
  <c r="I12" i="11"/>
  <c r="X69" i="11" s="1"/>
  <c r="I14" i="9"/>
  <c r="I10" i="9"/>
  <c r="V195" i="1"/>
  <c r="V71" i="11"/>
  <c r="V196" i="1"/>
  <c r="V192" i="1"/>
  <c r="V193" i="1"/>
  <c r="V194" i="1"/>
  <c r="V71" i="2"/>
  <c r="I11" i="11"/>
  <c r="P80" i="2"/>
  <c r="P76" i="2"/>
  <c r="P77" i="2"/>
  <c r="P79" i="2"/>
  <c r="I13" i="11"/>
  <c r="I9" i="11"/>
  <c r="I12" i="8"/>
  <c r="X69" i="8" s="1"/>
  <c r="I14" i="11"/>
  <c r="I10" i="10"/>
  <c r="I11" i="8"/>
  <c r="O76" i="2"/>
  <c r="O80" i="2"/>
  <c r="O79" i="2"/>
  <c r="O77" i="2"/>
  <c r="S80" i="2"/>
  <c r="S79" i="2"/>
  <c r="S77" i="2"/>
  <c r="S76" i="2"/>
  <c r="I13" i="8"/>
  <c r="I9" i="8"/>
  <c r="I12" i="9"/>
  <c r="Q2" i="1"/>
  <c r="P2" i="11"/>
  <c r="P146" i="11" s="1"/>
  <c r="P2" i="10"/>
  <c r="P146" i="10" s="1"/>
  <c r="P2" i="9"/>
  <c r="P146" i="9" s="1"/>
  <c r="P2" i="8"/>
  <c r="P146" i="8" s="1"/>
  <c r="P2" i="2"/>
  <c r="P146" i="2" s="1"/>
  <c r="P2" i="7"/>
  <c r="P8" i="7" s="1"/>
  <c r="I14" i="10"/>
  <c r="I10" i="11"/>
  <c r="I11" i="9"/>
  <c r="Q80" i="2"/>
  <c r="Q77" i="2"/>
  <c r="Q79" i="2"/>
  <c r="Q76" i="2"/>
  <c r="U80" i="2"/>
  <c r="U79" i="2"/>
  <c r="U76" i="2"/>
  <c r="I13" i="9"/>
  <c r="I9" i="9"/>
  <c r="I12" i="10"/>
  <c r="V71" i="10" s="1"/>
  <c r="I14" i="8"/>
  <c r="I10" i="8"/>
  <c r="I11" i="10"/>
  <c r="T80" i="2"/>
  <c r="T76" i="2"/>
  <c r="T77" i="2"/>
  <c r="T79" i="2"/>
  <c r="R80" i="2"/>
  <c r="R79" i="2"/>
  <c r="R76" i="2"/>
  <c r="R77" i="2"/>
  <c r="J177" i="1"/>
  <c r="J178" i="1" s="1"/>
  <c r="P38" i="11" s="1"/>
  <c r="P49" i="11" s="1"/>
  <c r="X187" i="1"/>
  <c r="W70" i="8"/>
  <c r="W70" i="11"/>
  <c r="W70" i="9"/>
  <c r="X69" i="9"/>
  <c r="X69" i="10"/>
  <c r="W69" i="11"/>
  <c r="W69" i="10"/>
  <c r="W69" i="9"/>
  <c r="W69" i="8"/>
  <c r="W70" i="2"/>
  <c r="X69" i="2"/>
  <c r="S97" i="2"/>
  <c r="S91" i="2"/>
  <c r="S88" i="2"/>
  <c r="L75" i="1"/>
  <c r="K177" i="1"/>
  <c r="K178" i="1" s="1"/>
  <c r="P28" i="2" s="1"/>
  <c r="R16" i="1"/>
  <c r="W70" i="10" l="1"/>
  <c r="U77" i="2"/>
  <c r="U88" i="2" s="1"/>
  <c r="P18" i="10"/>
  <c r="V18" i="10" s="1"/>
  <c r="P18" i="9"/>
  <c r="P51" i="9" s="1"/>
  <c r="V71" i="8"/>
  <c r="X193" i="1"/>
  <c r="X194" i="1"/>
  <c r="X195" i="1"/>
  <c r="X71" i="11"/>
  <c r="X71" i="10"/>
  <c r="X71" i="9"/>
  <c r="X71" i="8"/>
  <c r="X196" i="1"/>
  <c r="X192" i="1"/>
  <c r="X71" i="2"/>
  <c r="V80" i="10"/>
  <c r="V79" i="10"/>
  <c r="V77" i="10"/>
  <c r="V76" i="10"/>
  <c r="V85" i="10" s="1"/>
  <c r="V86" i="10" s="1"/>
  <c r="V87" i="10" s="1"/>
  <c r="V78" i="10"/>
  <c r="Q69" i="8"/>
  <c r="R71" i="8"/>
  <c r="O71" i="8"/>
  <c r="P71" i="8"/>
  <c r="Q71" i="8"/>
  <c r="S71" i="8"/>
  <c r="T71" i="8"/>
  <c r="U71" i="8"/>
  <c r="U70" i="8"/>
  <c r="T70" i="8"/>
  <c r="T69" i="8"/>
  <c r="S70" i="8"/>
  <c r="Q70" i="8"/>
  <c r="R69" i="8"/>
  <c r="O69" i="8"/>
  <c r="R70" i="8"/>
  <c r="O70" i="8"/>
  <c r="P70" i="8"/>
  <c r="P69" i="8"/>
  <c r="S69" i="8"/>
  <c r="U69" i="8"/>
  <c r="V70" i="8"/>
  <c r="V69" i="8"/>
  <c r="P38" i="2"/>
  <c r="P49" i="2" s="1"/>
  <c r="P28" i="8"/>
  <c r="P50" i="8" s="1"/>
  <c r="P38" i="8"/>
  <c r="P49" i="8" s="1"/>
  <c r="P71" i="10"/>
  <c r="Q71" i="10"/>
  <c r="R71" i="10"/>
  <c r="O71" i="10"/>
  <c r="U71" i="10"/>
  <c r="S71" i="10"/>
  <c r="T71" i="10"/>
  <c r="O70" i="10"/>
  <c r="Q70" i="10"/>
  <c r="T69" i="10"/>
  <c r="T70" i="10"/>
  <c r="R69" i="10"/>
  <c r="S69" i="10"/>
  <c r="P69" i="10"/>
  <c r="P70" i="10"/>
  <c r="O69" i="10"/>
  <c r="U69" i="10"/>
  <c r="Q69" i="10"/>
  <c r="U70" i="10"/>
  <c r="R70" i="10"/>
  <c r="S70" i="10"/>
  <c r="V70" i="10"/>
  <c r="V69" i="10"/>
  <c r="R2" i="1"/>
  <c r="Q2" i="11"/>
  <c r="Q146" i="11" s="1"/>
  <c r="Q2" i="10"/>
  <c r="Q146" i="10" s="1"/>
  <c r="Q2" i="9"/>
  <c r="Q146" i="9" s="1"/>
  <c r="Q2" i="8"/>
  <c r="Q146" i="8" s="1"/>
  <c r="Q2" i="2"/>
  <c r="Q146" i="2" s="1"/>
  <c r="Q2" i="7"/>
  <c r="Q8" i="7" s="1"/>
  <c r="R116" i="11"/>
  <c r="X114" i="11"/>
  <c r="X116" i="11"/>
  <c r="O116" i="11"/>
  <c r="Y114" i="11"/>
  <c r="Z114" i="11"/>
  <c r="R115" i="11"/>
  <c r="Y115" i="11"/>
  <c r="V115" i="11"/>
  <c r="W115" i="11"/>
  <c r="T114" i="11"/>
  <c r="T116" i="11"/>
  <c r="X115" i="11"/>
  <c r="U114" i="11"/>
  <c r="R114" i="11"/>
  <c r="W114" i="11"/>
  <c r="Q115" i="11"/>
  <c r="S114" i="11"/>
  <c r="Z116" i="11"/>
  <c r="S115" i="11"/>
  <c r="P114" i="11"/>
  <c r="W116" i="11"/>
  <c r="T115" i="11"/>
  <c r="Q114" i="11"/>
  <c r="U116" i="11"/>
  <c r="O114" i="11"/>
  <c r="V114" i="11"/>
  <c r="V116" i="11"/>
  <c r="O115" i="11"/>
  <c r="Y116" i="11"/>
  <c r="S116" i="11"/>
  <c r="P115" i="11"/>
  <c r="U115" i="11"/>
  <c r="Z115" i="11"/>
  <c r="Q116" i="11"/>
  <c r="P116" i="11"/>
  <c r="V79" i="2"/>
  <c r="V80" i="2"/>
  <c r="V76" i="2"/>
  <c r="V85" i="2" s="1"/>
  <c r="V77" i="2"/>
  <c r="V88" i="2" s="1"/>
  <c r="V78" i="2"/>
  <c r="V80" i="11"/>
  <c r="V97" i="11" s="1"/>
  <c r="V98" i="11" s="1"/>
  <c r="V99" i="11" s="1"/>
  <c r="V79" i="11"/>
  <c r="V94" i="11" s="1"/>
  <c r="V95" i="11" s="1"/>
  <c r="V96" i="11" s="1"/>
  <c r="V77" i="11"/>
  <c r="V76" i="11"/>
  <c r="V78" i="11"/>
  <c r="V91" i="11" s="1"/>
  <c r="V92" i="11" s="1"/>
  <c r="V93" i="11" s="1"/>
  <c r="T71" i="11"/>
  <c r="U71" i="11"/>
  <c r="S71" i="11"/>
  <c r="R71" i="11"/>
  <c r="P71" i="11"/>
  <c r="Q71" i="11"/>
  <c r="O71" i="11"/>
  <c r="O70" i="11"/>
  <c r="P70" i="11"/>
  <c r="Q70" i="11"/>
  <c r="R70" i="11"/>
  <c r="S70" i="11"/>
  <c r="T70" i="11"/>
  <c r="U70" i="11"/>
  <c r="Q69" i="11"/>
  <c r="O69" i="11"/>
  <c r="P69" i="11"/>
  <c r="U69" i="11"/>
  <c r="R69" i="11"/>
  <c r="S69" i="11"/>
  <c r="T69" i="11"/>
  <c r="V70" i="11"/>
  <c r="V69" i="11"/>
  <c r="P28" i="9"/>
  <c r="P50" i="9" s="1"/>
  <c r="P38" i="9"/>
  <c r="P49" i="9" s="1"/>
  <c r="R116" i="9"/>
  <c r="X114" i="9"/>
  <c r="X115" i="9"/>
  <c r="U114" i="9"/>
  <c r="V115" i="9"/>
  <c r="U115" i="9"/>
  <c r="Z115" i="9"/>
  <c r="Y116" i="9"/>
  <c r="V114" i="9"/>
  <c r="W116" i="9"/>
  <c r="Q114" i="9"/>
  <c r="R115" i="9"/>
  <c r="P114" i="9"/>
  <c r="Z116" i="9"/>
  <c r="P115" i="9"/>
  <c r="S114" i="9"/>
  <c r="Y115" i="9"/>
  <c r="W115" i="9"/>
  <c r="T115" i="9"/>
  <c r="Z114" i="9"/>
  <c r="Q116" i="9"/>
  <c r="S115" i="9"/>
  <c r="W114" i="9"/>
  <c r="S116" i="9"/>
  <c r="O114" i="9"/>
  <c r="V116" i="9"/>
  <c r="O115" i="9"/>
  <c r="O116" i="9"/>
  <c r="Y114" i="9"/>
  <c r="P116" i="9"/>
  <c r="U116" i="9"/>
  <c r="T116" i="9"/>
  <c r="R114" i="9"/>
  <c r="Q115" i="9"/>
  <c r="T114" i="9"/>
  <c r="X116" i="9"/>
  <c r="S71" i="9"/>
  <c r="Q71" i="9"/>
  <c r="T71" i="9"/>
  <c r="U71" i="9"/>
  <c r="R71" i="9"/>
  <c r="O71" i="9"/>
  <c r="P71" i="9"/>
  <c r="R70" i="9"/>
  <c r="U70" i="9"/>
  <c r="T70" i="9"/>
  <c r="S70" i="9"/>
  <c r="P70" i="9"/>
  <c r="O70" i="9"/>
  <c r="Q70" i="9"/>
  <c r="S69" i="9"/>
  <c r="Q69" i="9"/>
  <c r="P69" i="9"/>
  <c r="O69" i="9"/>
  <c r="T69" i="9"/>
  <c r="R69" i="9"/>
  <c r="U69" i="9"/>
  <c r="V70" i="9"/>
  <c r="V69" i="9"/>
  <c r="V80" i="8"/>
  <c r="V97" i="8" s="1"/>
  <c r="V98" i="8" s="1"/>
  <c r="V99" i="8" s="1"/>
  <c r="V79" i="8"/>
  <c r="V94" i="8" s="1"/>
  <c r="V95" i="8" s="1"/>
  <c r="V96" i="8" s="1"/>
  <c r="V77" i="8"/>
  <c r="V76" i="8"/>
  <c r="V78" i="8"/>
  <c r="V116" i="10"/>
  <c r="O115" i="10"/>
  <c r="Y116" i="10"/>
  <c r="V115" i="10"/>
  <c r="O114" i="10"/>
  <c r="Y115" i="10"/>
  <c r="V114" i="10"/>
  <c r="O116" i="10"/>
  <c r="Y114" i="10"/>
  <c r="X115" i="10"/>
  <c r="R116" i="10"/>
  <c r="X114" i="10"/>
  <c r="U116" i="10"/>
  <c r="R115" i="10"/>
  <c r="X116" i="10"/>
  <c r="U115" i="10"/>
  <c r="R114" i="10"/>
  <c r="U114" i="10"/>
  <c r="W115" i="10"/>
  <c r="T114" i="10"/>
  <c r="Q116" i="10"/>
  <c r="W114" i="10"/>
  <c r="T116" i="10"/>
  <c r="Q115" i="10"/>
  <c r="W116" i="10"/>
  <c r="T115" i="10"/>
  <c r="Q114" i="10"/>
  <c r="Z116" i="10"/>
  <c r="S115" i="10"/>
  <c r="P114" i="10"/>
  <c r="Z115" i="10"/>
  <c r="S114" i="10"/>
  <c r="P116" i="10"/>
  <c r="Z114" i="10"/>
  <c r="S116" i="10"/>
  <c r="P115" i="10"/>
  <c r="P28" i="10"/>
  <c r="P50" i="10" s="1"/>
  <c r="P38" i="10"/>
  <c r="P49" i="10" s="1"/>
  <c r="P28" i="11"/>
  <c r="P50" i="11" s="1"/>
  <c r="W115" i="8"/>
  <c r="T114" i="8"/>
  <c r="O116" i="8"/>
  <c r="Y114" i="8"/>
  <c r="U115" i="8"/>
  <c r="Z115" i="8"/>
  <c r="Y116" i="8"/>
  <c r="V114" i="8"/>
  <c r="S114" i="8"/>
  <c r="Z116" i="8"/>
  <c r="X115" i="8"/>
  <c r="Z114" i="8"/>
  <c r="X116" i="8"/>
  <c r="P114" i="8"/>
  <c r="Q116" i="8"/>
  <c r="O115" i="8"/>
  <c r="Q114" i="8"/>
  <c r="W114" i="8"/>
  <c r="T115" i="8"/>
  <c r="P116" i="8"/>
  <c r="R116" i="8"/>
  <c r="X114" i="8"/>
  <c r="S116" i="8"/>
  <c r="P115" i="8"/>
  <c r="U116" i="8"/>
  <c r="T116" i="8"/>
  <c r="O114" i="8"/>
  <c r="Q115" i="8"/>
  <c r="V115" i="8"/>
  <c r="S115" i="8"/>
  <c r="U114" i="8"/>
  <c r="R115" i="8"/>
  <c r="V116" i="8"/>
  <c r="W116" i="8"/>
  <c r="R114" i="8"/>
  <c r="Y115" i="8"/>
  <c r="V71" i="9"/>
  <c r="W71" i="11"/>
  <c r="W71" i="10"/>
  <c r="W71" i="9"/>
  <c r="W71" i="8"/>
  <c r="W196" i="1"/>
  <c r="W192" i="1"/>
  <c r="W193" i="1"/>
  <c r="W194" i="1"/>
  <c r="W195" i="1"/>
  <c r="W71" i="2"/>
  <c r="S98" i="2"/>
  <c r="S99" i="2" s="1"/>
  <c r="S92" i="2"/>
  <c r="S93" i="2" s="1"/>
  <c r="S89" i="2"/>
  <c r="S90" i="2" s="1"/>
  <c r="P51" i="10"/>
  <c r="U38" i="11"/>
  <c r="V38" i="11"/>
  <c r="U18" i="8"/>
  <c r="V18" i="8"/>
  <c r="V18" i="9"/>
  <c r="U18" i="9"/>
  <c r="V18" i="11"/>
  <c r="U18" i="11"/>
  <c r="U38" i="10"/>
  <c r="V38" i="10"/>
  <c r="V88" i="11"/>
  <c r="V89" i="11" s="1"/>
  <c r="V90" i="11" s="1"/>
  <c r="V91" i="10"/>
  <c r="V92" i="10" s="1"/>
  <c r="V93" i="10" s="1"/>
  <c r="S94" i="2"/>
  <c r="S95" i="2" s="1"/>
  <c r="S96" i="2" s="1"/>
  <c r="V88" i="10"/>
  <c r="V89" i="10" s="1"/>
  <c r="V90" i="10" s="1"/>
  <c r="X70" i="10"/>
  <c r="X70" i="11"/>
  <c r="X70" i="9"/>
  <c r="X70" i="8"/>
  <c r="X70" i="2"/>
  <c r="Y187" i="1"/>
  <c r="S85" i="2"/>
  <c r="V88" i="8"/>
  <c r="V89" i="8" s="1"/>
  <c r="V90" i="8" s="1"/>
  <c r="Y69" i="9"/>
  <c r="Y69" i="8"/>
  <c r="Y69" i="11"/>
  <c r="Y69" i="10"/>
  <c r="V97" i="2"/>
  <c r="P88" i="2"/>
  <c r="V94" i="2"/>
  <c r="O97" i="2"/>
  <c r="O98" i="2" s="1"/>
  <c r="O99" i="2" s="1"/>
  <c r="Y69" i="2"/>
  <c r="V18" i="2"/>
  <c r="U18" i="2"/>
  <c r="V38" i="2"/>
  <c r="R85" i="2"/>
  <c r="P94" i="2"/>
  <c r="U94" i="2"/>
  <c r="O85" i="2"/>
  <c r="O86" i="2" s="1"/>
  <c r="O87" i="2" s="1"/>
  <c r="T94" i="2"/>
  <c r="U85" i="2"/>
  <c r="T85" i="2"/>
  <c r="T86" i="2" s="1"/>
  <c r="T87" i="2" s="1"/>
  <c r="P97" i="2"/>
  <c r="U97" i="2"/>
  <c r="V91" i="2"/>
  <c r="T88" i="2"/>
  <c r="R88" i="2"/>
  <c r="O88" i="2"/>
  <c r="T91" i="2"/>
  <c r="R94" i="2"/>
  <c r="P91" i="2"/>
  <c r="U91" i="2"/>
  <c r="Q91" i="2"/>
  <c r="O94" i="2"/>
  <c r="R97" i="2"/>
  <c r="R98" i="2" s="1"/>
  <c r="R99" i="2" s="1"/>
  <c r="Q94" i="2"/>
  <c r="T97" i="2"/>
  <c r="R91" i="2"/>
  <c r="P85" i="2"/>
  <c r="Q85" i="2"/>
  <c r="Q97" i="2"/>
  <c r="Q98" i="2" s="1"/>
  <c r="Q99" i="2" s="1"/>
  <c r="Q88" i="2"/>
  <c r="S16" i="1"/>
  <c r="U18" i="10" l="1"/>
  <c r="V38" i="9"/>
  <c r="U38" i="8"/>
  <c r="V38" i="8"/>
  <c r="U38" i="2"/>
  <c r="U38" i="9"/>
  <c r="Y194" i="1"/>
  <c r="Y195" i="1"/>
  <c r="Y71" i="11"/>
  <c r="Y71" i="10"/>
  <c r="Y71" i="9"/>
  <c r="Y71" i="8"/>
  <c r="Y196" i="1"/>
  <c r="Y192" i="1"/>
  <c r="Y193" i="1"/>
  <c r="Y71" i="2"/>
  <c r="W80" i="11"/>
  <c r="W97" i="11" s="1"/>
  <c r="W98" i="11" s="1"/>
  <c r="W99" i="11" s="1"/>
  <c r="W107" i="11" s="1"/>
  <c r="W121" i="11" s="1"/>
  <c r="W79" i="11"/>
  <c r="W77" i="11"/>
  <c r="W76" i="11"/>
  <c r="W78" i="11"/>
  <c r="U80" i="9"/>
  <c r="U79" i="9"/>
  <c r="U77" i="9"/>
  <c r="U88" i="9" s="1"/>
  <c r="U89" i="9" s="1"/>
  <c r="U90" i="9" s="1"/>
  <c r="U76" i="9"/>
  <c r="U78" i="9"/>
  <c r="U91" i="9" s="1"/>
  <c r="U92" i="9" s="1"/>
  <c r="U93" i="9" s="1"/>
  <c r="P80" i="11"/>
  <c r="P79" i="11"/>
  <c r="P77" i="11"/>
  <c r="P88" i="11" s="1"/>
  <c r="P89" i="11" s="1"/>
  <c r="P90" i="11" s="1"/>
  <c r="P76" i="11"/>
  <c r="P85" i="11" s="1"/>
  <c r="P86" i="11" s="1"/>
  <c r="P87" i="11" s="1"/>
  <c r="P78" i="11"/>
  <c r="T80" i="11"/>
  <c r="T79" i="11"/>
  <c r="T77" i="11"/>
  <c r="T88" i="11" s="1"/>
  <c r="T89" i="11" s="1"/>
  <c r="T90" i="11" s="1"/>
  <c r="T76" i="11"/>
  <c r="T85" i="11" s="1"/>
  <c r="T86" i="11" s="1"/>
  <c r="T87" i="11" s="1"/>
  <c r="T78" i="11"/>
  <c r="S80" i="10"/>
  <c r="S97" i="10" s="1"/>
  <c r="S98" i="10" s="1"/>
  <c r="S99" i="10" s="1"/>
  <c r="S79" i="10"/>
  <c r="S77" i="10"/>
  <c r="S76" i="10"/>
  <c r="S78" i="10"/>
  <c r="Q80" i="10"/>
  <c r="Q79" i="10"/>
  <c r="Q94" i="10" s="1"/>
  <c r="Q95" i="10" s="1"/>
  <c r="Q96" i="10" s="1"/>
  <c r="Q77" i="10"/>
  <c r="Q88" i="10" s="1"/>
  <c r="Q89" i="10" s="1"/>
  <c r="Q90" i="10" s="1"/>
  <c r="Q76" i="10"/>
  <c r="Q85" i="10" s="1"/>
  <c r="Q86" i="10" s="1"/>
  <c r="Q87" i="10" s="1"/>
  <c r="Q78" i="10"/>
  <c r="Q91" i="10" s="1"/>
  <c r="Q92" i="10" s="1"/>
  <c r="Q93" i="10" s="1"/>
  <c r="U80" i="8"/>
  <c r="U97" i="8" s="1"/>
  <c r="U98" i="8" s="1"/>
  <c r="U99" i="8" s="1"/>
  <c r="U79" i="8"/>
  <c r="U94" i="8" s="1"/>
  <c r="U95" i="8" s="1"/>
  <c r="U96" i="8" s="1"/>
  <c r="U77" i="8"/>
  <c r="U88" i="8" s="1"/>
  <c r="U89" i="8" s="1"/>
  <c r="U90" i="8" s="1"/>
  <c r="U76" i="8"/>
  <c r="U78" i="8"/>
  <c r="U91" i="8" s="1"/>
  <c r="U92" i="8" s="1"/>
  <c r="U93" i="8" s="1"/>
  <c r="P80" i="8"/>
  <c r="P97" i="8" s="1"/>
  <c r="P98" i="8" s="1"/>
  <c r="P99" i="8" s="1"/>
  <c r="P79" i="8"/>
  <c r="P94" i="8" s="1"/>
  <c r="P95" i="8" s="1"/>
  <c r="P96" i="8" s="1"/>
  <c r="P77" i="8"/>
  <c r="P88" i="8" s="1"/>
  <c r="P89" i="8" s="1"/>
  <c r="P90" i="8" s="1"/>
  <c r="P76" i="8"/>
  <c r="P78" i="8"/>
  <c r="P91" i="8" s="1"/>
  <c r="P92" i="8" s="1"/>
  <c r="P93" i="8" s="1"/>
  <c r="X80" i="11"/>
  <c r="X79" i="11"/>
  <c r="X77" i="11"/>
  <c r="X88" i="11" s="1"/>
  <c r="X89" i="11" s="1"/>
  <c r="X90" i="11" s="1"/>
  <c r="X76" i="11"/>
  <c r="X85" i="11" s="1"/>
  <c r="X86" i="11" s="1"/>
  <c r="X87" i="11" s="1"/>
  <c r="X78" i="11"/>
  <c r="W80" i="8"/>
  <c r="W97" i="8" s="1"/>
  <c r="W98" i="8" s="1"/>
  <c r="W99" i="8" s="1"/>
  <c r="W107" i="8" s="1"/>
  <c r="W121" i="8" s="1"/>
  <c r="W79" i="8"/>
  <c r="W77" i="8"/>
  <c r="W76" i="8"/>
  <c r="W78" i="8"/>
  <c r="V80" i="9"/>
  <c r="V97" i="9" s="1"/>
  <c r="V98" i="9" s="1"/>
  <c r="V99" i="9" s="1"/>
  <c r="V79" i="9"/>
  <c r="V94" i="9" s="1"/>
  <c r="V95" i="9" s="1"/>
  <c r="V96" i="9" s="1"/>
  <c r="V77" i="9"/>
  <c r="V88" i="9" s="1"/>
  <c r="V89" i="9" s="1"/>
  <c r="V90" i="9" s="1"/>
  <c r="V76" i="9"/>
  <c r="V85" i="9" s="1"/>
  <c r="V86" i="9" s="1"/>
  <c r="V87" i="9" s="1"/>
  <c r="V78" i="9"/>
  <c r="V91" i="9" s="1"/>
  <c r="V92" i="9" s="1"/>
  <c r="V93" i="9" s="1"/>
  <c r="V105" i="9" s="1"/>
  <c r="V123" i="9" s="1"/>
  <c r="P80" i="9"/>
  <c r="P79" i="9"/>
  <c r="P94" i="9" s="1"/>
  <c r="P95" i="9" s="1"/>
  <c r="P96" i="9" s="1"/>
  <c r="P77" i="9"/>
  <c r="P88" i="9" s="1"/>
  <c r="P89" i="9" s="1"/>
  <c r="P90" i="9" s="1"/>
  <c r="P76" i="9"/>
  <c r="P78" i="9"/>
  <c r="T80" i="9"/>
  <c r="T97" i="9" s="1"/>
  <c r="T98" i="9" s="1"/>
  <c r="T99" i="9" s="1"/>
  <c r="T79" i="9"/>
  <c r="T77" i="9"/>
  <c r="T88" i="9" s="1"/>
  <c r="T89" i="9" s="1"/>
  <c r="T90" i="9" s="1"/>
  <c r="T76" i="9"/>
  <c r="T78" i="9"/>
  <c r="T91" i="9" s="1"/>
  <c r="T92" i="9" s="1"/>
  <c r="T93" i="9" s="1"/>
  <c r="R80" i="11"/>
  <c r="R79" i="11"/>
  <c r="R77" i="11"/>
  <c r="R88" i="11" s="1"/>
  <c r="R89" i="11" s="1"/>
  <c r="R90" i="11" s="1"/>
  <c r="R76" i="11"/>
  <c r="R78" i="11"/>
  <c r="R91" i="11" s="1"/>
  <c r="R92" i="11" s="1"/>
  <c r="R93" i="11" s="1"/>
  <c r="U80" i="10"/>
  <c r="U79" i="10"/>
  <c r="U77" i="10"/>
  <c r="U88" i="10" s="1"/>
  <c r="U89" i="10" s="1"/>
  <c r="U90" i="10" s="1"/>
  <c r="U76" i="10"/>
  <c r="U78" i="10"/>
  <c r="U91" i="10" s="1"/>
  <c r="U92" i="10" s="1"/>
  <c r="U93" i="10" s="1"/>
  <c r="P80" i="10"/>
  <c r="P97" i="10" s="1"/>
  <c r="P98" i="10" s="1"/>
  <c r="P99" i="10" s="1"/>
  <c r="P79" i="10"/>
  <c r="P94" i="10" s="1"/>
  <c r="P95" i="10" s="1"/>
  <c r="P96" i="10" s="1"/>
  <c r="P77" i="10"/>
  <c r="P88" i="10" s="1"/>
  <c r="P89" i="10" s="1"/>
  <c r="P90" i="10" s="1"/>
  <c r="P76" i="10"/>
  <c r="P85" i="10" s="1"/>
  <c r="P86" i="10" s="1"/>
  <c r="P87" i="10" s="1"/>
  <c r="P78" i="10"/>
  <c r="V91" i="8"/>
  <c r="V92" i="8" s="1"/>
  <c r="V93" i="8" s="1"/>
  <c r="T80" i="8"/>
  <c r="T79" i="8"/>
  <c r="T94" i="8" s="1"/>
  <c r="T95" i="8" s="1"/>
  <c r="T96" i="8" s="1"/>
  <c r="T77" i="8"/>
  <c r="T88" i="8" s="1"/>
  <c r="T89" i="8" s="1"/>
  <c r="T90" i="8" s="1"/>
  <c r="T76" i="8"/>
  <c r="T78" i="8"/>
  <c r="O80" i="8"/>
  <c r="O97" i="8" s="1"/>
  <c r="O98" i="8" s="1"/>
  <c r="O99" i="8" s="1"/>
  <c r="O79" i="8"/>
  <c r="O77" i="8"/>
  <c r="O88" i="8" s="1"/>
  <c r="O89" i="8" s="1"/>
  <c r="O90" i="8" s="1"/>
  <c r="O76" i="8"/>
  <c r="O78" i="8"/>
  <c r="O91" i="8" s="1"/>
  <c r="O92" i="8" s="1"/>
  <c r="O93" i="8" s="1"/>
  <c r="X80" i="8"/>
  <c r="X79" i="8"/>
  <c r="X77" i="8"/>
  <c r="X88" i="8" s="1"/>
  <c r="X76" i="8"/>
  <c r="X85" i="8" s="1"/>
  <c r="X86" i="8" s="1"/>
  <c r="X87" i="8" s="1"/>
  <c r="X78" i="8"/>
  <c r="W80" i="9"/>
  <c r="W97" i="9" s="1"/>
  <c r="W98" i="9" s="1"/>
  <c r="W99" i="9" s="1"/>
  <c r="W107" i="9" s="1"/>
  <c r="W121" i="9" s="1"/>
  <c r="W79" i="9"/>
  <c r="W94" i="9" s="1"/>
  <c r="W95" i="9" s="1"/>
  <c r="W96" i="9" s="1"/>
  <c r="W77" i="9"/>
  <c r="W88" i="9" s="1"/>
  <c r="W89" i="9" s="1"/>
  <c r="W90" i="9" s="1"/>
  <c r="W76" i="9"/>
  <c r="W85" i="9" s="1"/>
  <c r="W86" i="9" s="1"/>
  <c r="W87" i="9" s="1"/>
  <c r="W102" i="9" s="1"/>
  <c r="W78" i="9"/>
  <c r="O80" i="9"/>
  <c r="O79" i="9"/>
  <c r="O77" i="9"/>
  <c r="O76" i="9"/>
  <c r="O78" i="9"/>
  <c r="Q80" i="9"/>
  <c r="Q97" i="9" s="1"/>
  <c r="Q98" i="9" s="1"/>
  <c r="Q99" i="9" s="1"/>
  <c r="Q79" i="9"/>
  <c r="Q94" i="9" s="1"/>
  <c r="Q95" i="9" s="1"/>
  <c r="Q96" i="9" s="1"/>
  <c r="Q77" i="9"/>
  <c r="Q88" i="9" s="1"/>
  <c r="Q89" i="9" s="1"/>
  <c r="Q90" i="9" s="1"/>
  <c r="Q76" i="9"/>
  <c r="Q85" i="9" s="1"/>
  <c r="Q86" i="9" s="1"/>
  <c r="Q87" i="9" s="1"/>
  <c r="Q78" i="9"/>
  <c r="Q91" i="9" s="1"/>
  <c r="Q92" i="9" s="1"/>
  <c r="Q93" i="9" s="1"/>
  <c r="O80" i="11"/>
  <c r="O97" i="11" s="1"/>
  <c r="O98" i="11" s="1"/>
  <c r="O99" i="11" s="1"/>
  <c r="O79" i="11"/>
  <c r="O77" i="11"/>
  <c r="O88" i="11" s="1"/>
  <c r="O89" i="11" s="1"/>
  <c r="O90" i="11" s="1"/>
  <c r="O76" i="11"/>
  <c r="O78" i="11"/>
  <c r="O91" i="11" s="1"/>
  <c r="O92" i="11" s="1"/>
  <c r="O93" i="11" s="1"/>
  <c r="S80" i="11"/>
  <c r="S79" i="11"/>
  <c r="S94" i="11" s="1"/>
  <c r="S95" i="11" s="1"/>
  <c r="S96" i="11" s="1"/>
  <c r="S77" i="11"/>
  <c r="S76" i="11"/>
  <c r="S78" i="11"/>
  <c r="S91" i="11" s="1"/>
  <c r="S92" i="11" s="1"/>
  <c r="S93" i="11" s="1"/>
  <c r="S105" i="11" s="1"/>
  <c r="S122" i="11" s="1"/>
  <c r="S2" i="1"/>
  <c r="R2" i="11"/>
  <c r="R146" i="11" s="1"/>
  <c r="R2" i="10"/>
  <c r="R146" i="10" s="1"/>
  <c r="R2" i="9"/>
  <c r="R146" i="9" s="1"/>
  <c r="R2" i="8"/>
  <c r="R146" i="8" s="1"/>
  <c r="R2" i="7"/>
  <c r="R8" i="7" s="1"/>
  <c r="R2" i="2"/>
  <c r="R146" i="2" s="1"/>
  <c r="O80" i="10"/>
  <c r="O97" i="10" s="1"/>
  <c r="O98" i="10" s="1"/>
  <c r="O99" i="10" s="1"/>
  <c r="O79" i="10"/>
  <c r="O94" i="10" s="1"/>
  <c r="O95" i="10" s="1"/>
  <c r="O96" i="10" s="1"/>
  <c r="O77" i="10"/>
  <c r="O88" i="10" s="1"/>
  <c r="O76" i="10"/>
  <c r="O85" i="10" s="1"/>
  <c r="O86" i="10" s="1"/>
  <c r="O87" i="10" s="1"/>
  <c r="O78" i="10"/>
  <c r="O91" i="10" s="1"/>
  <c r="O92" i="10" s="1"/>
  <c r="O93" i="10" s="1"/>
  <c r="S80" i="8"/>
  <c r="S79" i="8"/>
  <c r="S77" i="8"/>
  <c r="S88" i="8" s="1"/>
  <c r="S89" i="8" s="1"/>
  <c r="S90" i="8" s="1"/>
  <c r="S76" i="8"/>
  <c r="S78" i="8"/>
  <c r="S91" i="8" s="1"/>
  <c r="S92" i="8" s="1"/>
  <c r="S93" i="8" s="1"/>
  <c r="R80" i="8"/>
  <c r="R79" i="8"/>
  <c r="R94" i="8" s="1"/>
  <c r="R95" i="8" s="1"/>
  <c r="R96" i="8" s="1"/>
  <c r="R77" i="8"/>
  <c r="R88" i="8" s="1"/>
  <c r="R89" i="8" s="1"/>
  <c r="R90" i="8" s="1"/>
  <c r="R103" i="8" s="1"/>
  <c r="R119" i="8" s="1"/>
  <c r="R76" i="8"/>
  <c r="R85" i="8" s="1"/>
  <c r="R86" i="8" s="1"/>
  <c r="R87" i="8" s="1"/>
  <c r="R78" i="8"/>
  <c r="R91" i="8" s="1"/>
  <c r="R92" i="8" s="1"/>
  <c r="R93" i="8" s="1"/>
  <c r="X79" i="2"/>
  <c r="X80" i="2"/>
  <c r="X76" i="2"/>
  <c r="X85" i="2" s="1"/>
  <c r="X86" i="2" s="1"/>
  <c r="X87" i="2" s="1"/>
  <c r="X77" i="2"/>
  <c r="X78" i="2"/>
  <c r="X80" i="9"/>
  <c r="X79" i="9"/>
  <c r="X77" i="9"/>
  <c r="X88" i="9" s="1"/>
  <c r="X89" i="9" s="1"/>
  <c r="X90" i="9" s="1"/>
  <c r="X76" i="9"/>
  <c r="X78" i="9"/>
  <c r="W88" i="11"/>
  <c r="W89" i="11" s="1"/>
  <c r="W90" i="11" s="1"/>
  <c r="W104" i="11" s="1"/>
  <c r="W120" i="11" s="1"/>
  <c r="W80" i="2"/>
  <c r="W97" i="2" s="1"/>
  <c r="W98" i="2" s="1"/>
  <c r="W99" i="2" s="1"/>
  <c r="W79" i="2"/>
  <c r="W94" i="2" s="1"/>
  <c r="W95" i="2" s="1"/>
  <c r="W96" i="2" s="1"/>
  <c r="W77" i="2"/>
  <c r="W88" i="2" s="1"/>
  <c r="W76" i="2"/>
  <c r="W85" i="2" s="1"/>
  <c r="W86" i="2" s="1"/>
  <c r="W87" i="2" s="1"/>
  <c r="W78" i="2"/>
  <c r="W91" i="2" s="1"/>
  <c r="W80" i="10"/>
  <c r="W79" i="10"/>
  <c r="W77" i="10"/>
  <c r="W76" i="10"/>
  <c r="W85" i="10" s="1"/>
  <c r="W86" i="10" s="1"/>
  <c r="W87" i="10" s="1"/>
  <c r="W78" i="10"/>
  <c r="U85" i="9"/>
  <c r="U86" i="9" s="1"/>
  <c r="U87" i="9" s="1"/>
  <c r="U97" i="9"/>
  <c r="U98" i="9" s="1"/>
  <c r="U99" i="9" s="1"/>
  <c r="R80" i="9"/>
  <c r="R97" i="9" s="1"/>
  <c r="R98" i="9" s="1"/>
  <c r="R99" i="9" s="1"/>
  <c r="R79" i="9"/>
  <c r="R94" i="9" s="1"/>
  <c r="R95" i="9" s="1"/>
  <c r="R96" i="9" s="1"/>
  <c r="R77" i="9"/>
  <c r="R88" i="9" s="1"/>
  <c r="R89" i="9" s="1"/>
  <c r="R90" i="9" s="1"/>
  <c r="R76" i="9"/>
  <c r="R78" i="9"/>
  <c r="R91" i="9" s="1"/>
  <c r="R92" i="9" s="1"/>
  <c r="R93" i="9" s="1"/>
  <c r="S80" i="9"/>
  <c r="S79" i="9"/>
  <c r="S77" i="9"/>
  <c r="S88" i="9" s="1"/>
  <c r="S89" i="9" s="1"/>
  <c r="S90" i="9" s="1"/>
  <c r="S76" i="9"/>
  <c r="S85" i="9" s="1"/>
  <c r="S86" i="9" s="1"/>
  <c r="S87" i="9" s="1"/>
  <c r="S78" i="9"/>
  <c r="S91" i="9" s="1"/>
  <c r="S92" i="9" s="1"/>
  <c r="S93" i="9" s="1"/>
  <c r="Q80" i="11"/>
  <c r="Q97" i="11" s="1"/>
  <c r="Q98" i="11" s="1"/>
  <c r="Q99" i="11" s="1"/>
  <c r="Q79" i="11"/>
  <c r="Q94" i="11" s="1"/>
  <c r="Q95" i="11" s="1"/>
  <c r="Q96" i="11" s="1"/>
  <c r="Q77" i="11"/>
  <c r="Q88" i="11" s="1"/>
  <c r="Q89" i="11" s="1"/>
  <c r="Q90" i="11" s="1"/>
  <c r="Q76" i="11"/>
  <c r="Q85" i="11" s="1"/>
  <c r="Q86" i="11" s="1"/>
  <c r="Q87" i="11" s="1"/>
  <c r="Q78" i="11"/>
  <c r="U80" i="11"/>
  <c r="U79" i="11"/>
  <c r="U77" i="11"/>
  <c r="U88" i="11" s="1"/>
  <c r="U89" i="11" s="1"/>
  <c r="U90" i="11" s="1"/>
  <c r="U76" i="11"/>
  <c r="U85" i="11" s="1"/>
  <c r="U86" i="11" s="1"/>
  <c r="U87" i="11" s="1"/>
  <c r="U78" i="11"/>
  <c r="U91" i="11" s="1"/>
  <c r="U92" i="11" s="1"/>
  <c r="U93" i="11" s="1"/>
  <c r="V97" i="10"/>
  <c r="V98" i="10" s="1"/>
  <c r="V99" i="10" s="1"/>
  <c r="V107" i="10" s="1"/>
  <c r="V121" i="10" s="1"/>
  <c r="V94" i="10"/>
  <c r="V95" i="10" s="1"/>
  <c r="V96" i="10" s="1"/>
  <c r="T80" i="10"/>
  <c r="T79" i="10"/>
  <c r="T77" i="10"/>
  <c r="T88" i="10" s="1"/>
  <c r="T89" i="10" s="1"/>
  <c r="T90" i="10" s="1"/>
  <c r="T76" i="10"/>
  <c r="T78" i="10"/>
  <c r="R80" i="10"/>
  <c r="R97" i="10" s="1"/>
  <c r="R98" i="10" s="1"/>
  <c r="R99" i="10" s="1"/>
  <c r="R79" i="10"/>
  <c r="R77" i="10"/>
  <c r="R88" i="10" s="1"/>
  <c r="R89" i="10" s="1"/>
  <c r="R90" i="10" s="1"/>
  <c r="R76" i="10"/>
  <c r="R85" i="10" s="1"/>
  <c r="R86" i="10" s="1"/>
  <c r="R87" i="10" s="1"/>
  <c r="R102" i="10" s="1"/>
  <c r="R78" i="10"/>
  <c r="R91" i="10" s="1"/>
  <c r="R92" i="10" s="1"/>
  <c r="R93" i="10" s="1"/>
  <c r="Q80" i="8"/>
  <c r="Q79" i="8"/>
  <c r="Q94" i="8" s="1"/>
  <c r="Q95" i="8" s="1"/>
  <c r="Q96" i="8" s="1"/>
  <c r="Q77" i="8"/>
  <c r="Q88" i="8" s="1"/>
  <c r="Q89" i="8" s="1"/>
  <c r="Q90" i="8" s="1"/>
  <c r="Q76" i="8"/>
  <c r="Q78" i="8"/>
  <c r="X80" i="10"/>
  <c r="X79" i="10"/>
  <c r="X94" i="10" s="1"/>
  <c r="X95" i="10" s="1"/>
  <c r="X96" i="10" s="1"/>
  <c r="X77" i="10"/>
  <c r="X88" i="10" s="1"/>
  <c r="X89" i="10" s="1"/>
  <c r="X90" i="10" s="1"/>
  <c r="X76" i="10"/>
  <c r="X85" i="10" s="1"/>
  <c r="X86" i="10" s="1"/>
  <c r="X87" i="10" s="1"/>
  <c r="X78" i="10"/>
  <c r="U95" i="2"/>
  <c r="U96" i="2" s="1"/>
  <c r="V95" i="2"/>
  <c r="V96" i="2" s="1"/>
  <c r="V106" i="2" s="1"/>
  <c r="R95" i="2"/>
  <c r="R96" i="2" s="1"/>
  <c r="P95" i="2"/>
  <c r="P96" i="2" s="1"/>
  <c r="V98" i="2"/>
  <c r="V99" i="2" s="1"/>
  <c r="T98" i="2"/>
  <c r="T99" i="2" s="1"/>
  <c r="U98" i="2"/>
  <c r="U99" i="2" s="1"/>
  <c r="T95" i="2"/>
  <c r="T96" i="2" s="1"/>
  <c r="Q95" i="2"/>
  <c r="Q96" i="2" s="1"/>
  <c r="P98" i="2"/>
  <c r="P99" i="2" s="1"/>
  <c r="R92" i="2"/>
  <c r="R93" i="2" s="1"/>
  <c r="Q92" i="2"/>
  <c r="Q93" i="2" s="1"/>
  <c r="U92" i="2"/>
  <c r="U93" i="2" s="1"/>
  <c r="T92" i="2"/>
  <c r="T93" i="2" s="1"/>
  <c r="V92" i="2"/>
  <c r="V93" i="2" s="1"/>
  <c r="V105" i="2" s="1"/>
  <c r="P92" i="2"/>
  <c r="P93" i="2" s="1"/>
  <c r="W92" i="2"/>
  <c r="W93" i="2" s="1"/>
  <c r="T89" i="2"/>
  <c r="T90" i="2" s="1"/>
  <c r="T103" i="2" s="1"/>
  <c r="T119" i="2" s="1"/>
  <c r="Q89" i="2"/>
  <c r="Q90" i="2" s="1"/>
  <c r="V89" i="2"/>
  <c r="V90" i="2" s="1"/>
  <c r="P89" i="2"/>
  <c r="P90" i="2" s="1"/>
  <c r="U89" i="2"/>
  <c r="U90" i="2" s="1"/>
  <c r="U104" i="2" s="1"/>
  <c r="U120" i="2" s="1"/>
  <c r="W89" i="2"/>
  <c r="W90" i="2" s="1"/>
  <c r="R89" i="2"/>
  <c r="R90" i="2" s="1"/>
  <c r="R86" i="2"/>
  <c r="R87" i="2" s="1"/>
  <c r="R102" i="2" s="1"/>
  <c r="V86" i="2"/>
  <c r="V87" i="2" s="1"/>
  <c r="V102" i="2" s="1"/>
  <c r="V85" i="8"/>
  <c r="V86" i="8" s="1"/>
  <c r="V87" i="8" s="1"/>
  <c r="V102" i="8" s="1"/>
  <c r="V85" i="11"/>
  <c r="V86" i="11" s="1"/>
  <c r="V87" i="11" s="1"/>
  <c r="V102" i="11" s="1"/>
  <c r="Q86" i="2"/>
  <c r="Q87" i="2" s="1"/>
  <c r="P86" i="2"/>
  <c r="P87" i="2" s="1"/>
  <c r="U86" i="2"/>
  <c r="U87" i="2" s="1"/>
  <c r="S86" i="2"/>
  <c r="S87" i="2" s="1"/>
  <c r="S102" i="2" s="1"/>
  <c r="V28" i="9"/>
  <c r="U28" i="9"/>
  <c r="U28" i="8"/>
  <c r="V28" i="8"/>
  <c r="V28" i="10"/>
  <c r="U28" i="10"/>
  <c r="U28" i="11"/>
  <c r="V28" i="11"/>
  <c r="W91" i="9"/>
  <c r="W91" i="11"/>
  <c r="W92" i="11" s="1"/>
  <c r="W93" i="11" s="1"/>
  <c r="W105" i="11" s="1"/>
  <c r="W94" i="11"/>
  <c r="W94" i="10"/>
  <c r="V105" i="11"/>
  <c r="V102" i="9"/>
  <c r="V106" i="8"/>
  <c r="W94" i="8"/>
  <c r="V107" i="8"/>
  <c r="V121" i="8" s="1"/>
  <c r="R106" i="8"/>
  <c r="V107" i="11"/>
  <c r="V121" i="11" s="1"/>
  <c r="W97" i="10"/>
  <c r="W98" i="10" s="1"/>
  <c r="W99" i="10" s="1"/>
  <c r="X91" i="8"/>
  <c r="X94" i="8"/>
  <c r="X95" i="8" s="1"/>
  <c r="X96" i="8" s="1"/>
  <c r="Y70" i="2"/>
  <c r="Y70" i="10"/>
  <c r="Y70" i="11"/>
  <c r="Y70" i="8"/>
  <c r="Y70" i="9"/>
  <c r="Z187" i="1"/>
  <c r="X97" i="2"/>
  <c r="X88" i="2"/>
  <c r="X94" i="2"/>
  <c r="X91" i="2"/>
  <c r="X92" i="2" s="1"/>
  <c r="X93" i="2" s="1"/>
  <c r="X91" i="9"/>
  <c r="X92" i="9" s="1"/>
  <c r="X93" i="9" s="1"/>
  <c r="X97" i="9"/>
  <c r="X85" i="9"/>
  <c r="X86" i="9" s="1"/>
  <c r="X87" i="9" s="1"/>
  <c r="X94" i="9"/>
  <c r="X95" i="9" s="1"/>
  <c r="X96" i="9" s="1"/>
  <c r="X97" i="8"/>
  <c r="X98" i="8" s="1"/>
  <c r="X99" i="8" s="1"/>
  <c r="W85" i="8"/>
  <c r="W91" i="10"/>
  <c r="W92" i="10" s="1"/>
  <c r="W93" i="10" s="1"/>
  <c r="X94" i="11"/>
  <c r="X95" i="11" s="1"/>
  <c r="X96" i="11" s="1"/>
  <c r="X97" i="11"/>
  <c r="X98" i="11" s="1"/>
  <c r="X99" i="11" s="1"/>
  <c r="X91" i="11"/>
  <c r="X92" i="11" s="1"/>
  <c r="X93" i="11" s="1"/>
  <c r="W88" i="10"/>
  <c r="W89" i="10" s="1"/>
  <c r="W90" i="10" s="1"/>
  <c r="X97" i="10"/>
  <c r="X98" i="10" s="1"/>
  <c r="X99" i="10" s="1"/>
  <c r="X91" i="10"/>
  <c r="X92" i="10" s="1"/>
  <c r="X93" i="10" s="1"/>
  <c r="O91" i="2"/>
  <c r="T107" i="9"/>
  <c r="T121" i="9" s="1"/>
  <c r="R103" i="9"/>
  <c r="R119" i="9" s="1"/>
  <c r="Z69" i="9"/>
  <c r="Z69" i="10"/>
  <c r="Z69" i="8"/>
  <c r="Z69" i="11"/>
  <c r="O95" i="2"/>
  <c r="O96" i="2" s="1"/>
  <c r="O89" i="2"/>
  <c r="O90" i="2" s="1"/>
  <c r="U105" i="8"/>
  <c r="U122" i="8" s="1"/>
  <c r="T103" i="9"/>
  <c r="T119" i="9" s="1"/>
  <c r="V105" i="8"/>
  <c r="V122" i="8" s="1"/>
  <c r="S106" i="11"/>
  <c r="O107" i="10"/>
  <c r="Q103" i="9"/>
  <c r="Q119" i="9" s="1"/>
  <c r="S102" i="9"/>
  <c r="S105" i="9"/>
  <c r="S122" i="9" s="1"/>
  <c r="T103" i="8"/>
  <c r="T119" i="8" s="1"/>
  <c r="P106" i="8"/>
  <c r="S105" i="8"/>
  <c r="S122" i="8" s="1"/>
  <c r="Q102" i="11"/>
  <c r="T102" i="11"/>
  <c r="V106" i="11"/>
  <c r="O105" i="11"/>
  <c r="P102" i="11"/>
  <c r="O107" i="11"/>
  <c r="O121" i="11" s="1"/>
  <c r="Q107" i="11"/>
  <c r="Q121" i="11" s="1"/>
  <c r="V103" i="11"/>
  <c r="V119" i="11" s="1"/>
  <c r="V104" i="11"/>
  <c r="V120" i="11" s="1"/>
  <c r="T104" i="11"/>
  <c r="T120" i="11" s="1"/>
  <c r="T103" i="11"/>
  <c r="T119" i="11" s="1"/>
  <c r="P104" i="11"/>
  <c r="P120" i="11" s="1"/>
  <c r="P103" i="11"/>
  <c r="P119" i="11" s="1"/>
  <c r="W103" i="11"/>
  <c r="W119" i="11" s="1"/>
  <c r="R105" i="11"/>
  <c r="U102" i="11"/>
  <c r="Q102" i="10"/>
  <c r="U104" i="10"/>
  <c r="U120" i="10" s="1"/>
  <c r="U103" i="10"/>
  <c r="U119" i="10" s="1"/>
  <c r="V106" i="10"/>
  <c r="O102" i="10"/>
  <c r="Q105" i="10"/>
  <c r="R107" i="10"/>
  <c r="R121" i="10" s="1"/>
  <c r="V104" i="10"/>
  <c r="V120" i="10" s="1"/>
  <c r="V103" i="10"/>
  <c r="V119" i="10" s="1"/>
  <c r="P106" i="10"/>
  <c r="V105" i="10"/>
  <c r="V102" i="10"/>
  <c r="O105" i="10"/>
  <c r="R106" i="9"/>
  <c r="Q106" i="9"/>
  <c r="P106" i="9"/>
  <c r="T105" i="9"/>
  <c r="Q104" i="9"/>
  <c r="Q120" i="9" s="1"/>
  <c r="P103" i="9"/>
  <c r="P119" i="9" s="1"/>
  <c r="P104" i="9"/>
  <c r="P120" i="9" s="1"/>
  <c r="T104" i="9"/>
  <c r="T120" i="9" s="1"/>
  <c r="U105" i="9"/>
  <c r="S103" i="8"/>
  <c r="S119" i="8" s="1"/>
  <c r="S104" i="8"/>
  <c r="S120" i="8" s="1"/>
  <c r="R105" i="8"/>
  <c r="O103" i="8"/>
  <c r="O119" i="8" s="1"/>
  <c r="O104" i="8"/>
  <c r="O120" i="8" s="1"/>
  <c r="O107" i="8"/>
  <c r="O121" i="8" s="1"/>
  <c r="P50" i="2"/>
  <c r="Z69" i="2"/>
  <c r="U28" i="2"/>
  <c r="V28" i="2"/>
  <c r="O107" i="2"/>
  <c r="O121" i="2" s="1"/>
  <c r="S106" i="2"/>
  <c r="O102" i="2"/>
  <c r="T16" i="1"/>
  <c r="V106" i="9" l="1"/>
  <c r="P107" i="10"/>
  <c r="P121" i="10" s="1"/>
  <c r="U106" i="8"/>
  <c r="Q102" i="9"/>
  <c r="U105" i="10"/>
  <c r="R103" i="11"/>
  <c r="R119" i="11" s="1"/>
  <c r="Q105" i="9"/>
  <c r="Q122" i="9" s="1"/>
  <c r="Q106" i="10"/>
  <c r="O106" i="10"/>
  <c r="R107" i="9"/>
  <c r="R121" i="9" s="1"/>
  <c r="P105" i="8"/>
  <c r="P122" i="8" s="1"/>
  <c r="U107" i="8"/>
  <c r="U121" i="8" s="1"/>
  <c r="R105" i="10"/>
  <c r="P102" i="10"/>
  <c r="R104" i="11"/>
  <c r="R120" i="11" s="1"/>
  <c r="Q107" i="9"/>
  <c r="Q121" i="9" s="1"/>
  <c r="U105" i="11"/>
  <c r="U123" i="11" s="1"/>
  <c r="P107" i="8"/>
  <c r="P121" i="8" s="1"/>
  <c r="R105" i="9"/>
  <c r="R122" i="9" s="1"/>
  <c r="V107" i="9"/>
  <c r="V121" i="9" s="1"/>
  <c r="Q106" i="11"/>
  <c r="W102" i="10"/>
  <c r="T104" i="10"/>
  <c r="T120" i="10" s="1"/>
  <c r="T103" i="10"/>
  <c r="T119" i="10" s="1"/>
  <c r="Q103" i="8"/>
  <c r="Q119" i="8" s="1"/>
  <c r="Q104" i="8"/>
  <c r="Q120" i="8" s="1"/>
  <c r="Z195" i="1"/>
  <c r="Z71" i="11"/>
  <c r="Z71" i="10"/>
  <c r="Z71" i="9"/>
  <c r="Z71" i="8"/>
  <c r="Z196" i="1"/>
  <c r="M129" i="1" s="1"/>
  <c r="Z192" i="1"/>
  <c r="Z193" i="1"/>
  <c r="Z194" i="1"/>
  <c r="L129" i="1" s="1"/>
  <c r="Z71" i="2"/>
  <c r="Q106" i="8"/>
  <c r="Q97" i="8"/>
  <c r="Q98" i="8" s="1"/>
  <c r="Q99" i="8" s="1"/>
  <c r="Q107" i="8" s="1"/>
  <c r="Q121" i="8" s="1"/>
  <c r="T85" i="10"/>
  <c r="T86" i="10" s="1"/>
  <c r="T87" i="10" s="1"/>
  <c r="T102" i="10" s="1"/>
  <c r="U97" i="11"/>
  <c r="U98" i="11" s="1"/>
  <c r="U99" i="11" s="1"/>
  <c r="U107" i="11" s="1"/>
  <c r="U121" i="11" s="1"/>
  <c r="R85" i="9"/>
  <c r="R86" i="9" s="1"/>
  <c r="R87" i="9" s="1"/>
  <c r="R102" i="9" s="1"/>
  <c r="R104" i="8"/>
  <c r="R120" i="8" s="1"/>
  <c r="S85" i="8"/>
  <c r="S86" i="8" s="1"/>
  <c r="S87" i="8" s="1"/>
  <c r="S102" i="8" s="1"/>
  <c r="S97" i="11"/>
  <c r="S98" i="11" s="1"/>
  <c r="S99" i="11" s="1"/>
  <c r="S107" i="11" s="1"/>
  <c r="S121" i="11" s="1"/>
  <c r="O94" i="11"/>
  <c r="O95" i="11" s="1"/>
  <c r="O96" i="11" s="1"/>
  <c r="O106" i="11" s="1"/>
  <c r="O85" i="9"/>
  <c r="O86" i="9" s="1"/>
  <c r="O87" i="9" s="1"/>
  <c r="O102" i="9" s="1"/>
  <c r="O105" i="8"/>
  <c r="T106" i="8"/>
  <c r="U85" i="10"/>
  <c r="U86" i="10" s="1"/>
  <c r="U87" i="10" s="1"/>
  <c r="U102" i="10" s="1"/>
  <c r="R97" i="11"/>
  <c r="R98" i="11" s="1"/>
  <c r="R99" i="11" s="1"/>
  <c r="R107" i="11" s="1"/>
  <c r="R121" i="11" s="1"/>
  <c r="T94" i="9"/>
  <c r="T95" i="9" s="1"/>
  <c r="T96" i="9" s="1"/>
  <c r="T106" i="9" s="1"/>
  <c r="S85" i="10"/>
  <c r="S86" i="10" s="1"/>
  <c r="S87" i="10" s="1"/>
  <c r="S102" i="10" s="1"/>
  <c r="T91" i="10"/>
  <c r="T92" i="10" s="1"/>
  <c r="T93" i="10" s="1"/>
  <c r="T105" i="10" s="1"/>
  <c r="T91" i="11"/>
  <c r="T92" i="11" s="1"/>
  <c r="T93" i="11" s="1"/>
  <c r="T105" i="11" s="1"/>
  <c r="P94" i="11"/>
  <c r="P95" i="11" s="1"/>
  <c r="P96" i="11" s="1"/>
  <c r="P106" i="11" s="1"/>
  <c r="Y80" i="10"/>
  <c r="Y97" i="10" s="1"/>
  <c r="Y98" i="10" s="1"/>
  <c r="Y99" i="10" s="1"/>
  <c r="Y79" i="10"/>
  <c r="Y77" i="10"/>
  <c r="Y76" i="10"/>
  <c r="Y85" i="10" s="1"/>
  <c r="Y86" i="10" s="1"/>
  <c r="Y87" i="10" s="1"/>
  <c r="Y78" i="10"/>
  <c r="Y91" i="10" s="1"/>
  <c r="Y92" i="10" s="1"/>
  <c r="Y93" i="10" s="1"/>
  <c r="R94" i="10"/>
  <c r="R95" i="10" s="1"/>
  <c r="R96" i="10" s="1"/>
  <c r="R106" i="10" s="1"/>
  <c r="Q91" i="11"/>
  <c r="Q92" i="11" s="1"/>
  <c r="Q93" i="11" s="1"/>
  <c r="Q105" i="11"/>
  <c r="S94" i="9"/>
  <c r="S95" i="9" s="1"/>
  <c r="S96" i="9" s="1"/>
  <c r="S106" i="9" s="1"/>
  <c r="S85" i="11"/>
  <c r="S86" i="11" s="1"/>
  <c r="S87" i="11" s="1"/>
  <c r="S102" i="11"/>
  <c r="O88" i="9"/>
  <c r="O89" i="9" s="1"/>
  <c r="O90" i="9" s="1"/>
  <c r="O103" i="9" s="1"/>
  <c r="O37" i="9" s="1"/>
  <c r="U37" i="9" s="1"/>
  <c r="O85" i="8"/>
  <c r="O86" i="8" s="1"/>
  <c r="O87" i="8" s="1"/>
  <c r="O102" i="8"/>
  <c r="T91" i="8"/>
  <c r="T92" i="8" s="1"/>
  <c r="T93" i="8" s="1"/>
  <c r="T105" i="8" s="1"/>
  <c r="T97" i="8"/>
  <c r="T98" i="8" s="1"/>
  <c r="T99" i="8" s="1"/>
  <c r="T107" i="8" s="1"/>
  <c r="T121" i="8" s="1"/>
  <c r="R85" i="11"/>
  <c r="R86" i="11" s="1"/>
  <c r="R87" i="11" s="1"/>
  <c r="R102" i="11" s="1"/>
  <c r="S88" i="10"/>
  <c r="S89" i="10" s="1"/>
  <c r="S90" i="10" s="1"/>
  <c r="S104" i="10" s="1"/>
  <c r="S120" i="10" s="1"/>
  <c r="T94" i="10"/>
  <c r="T95" i="10" s="1"/>
  <c r="T96" i="10" s="1"/>
  <c r="T106" i="10" s="1"/>
  <c r="P91" i="11"/>
  <c r="P92" i="11" s="1"/>
  <c r="P93" i="11" s="1"/>
  <c r="P105" i="11" s="1"/>
  <c r="P97" i="11"/>
  <c r="P98" i="11" s="1"/>
  <c r="P99" i="11" s="1"/>
  <c r="P107" i="11" s="1"/>
  <c r="P121" i="11" s="1"/>
  <c r="U94" i="9"/>
  <c r="U95" i="9" s="1"/>
  <c r="U96" i="9" s="1"/>
  <c r="U106" i="9" s="1"/>
  <c r="Y80" i="11"/>
  <c r="Y97" i="11" s="1"/>
  <c r="Y98" i="11" s="1"/>
  <c r="Y99" i="11" s="1"/>
  <c r="Y79" i="11"/>
  <c r="Y77" i="11"/>
  <c r="Y76" i="11"/>
  <c r="Y85" i="11" s="1"/>
  <c r="Y86" i="11" s="1"/>
  <c r="Y87" i="11" s="1"/>
  <c r="Y78" i="11"/>
  <c r="Y91" i="11" s="1"/>
  <c r="Y92" i="11" s="1"/>
  <c r="Y93" i="11" s="1"/>
  <c r="S97" i="9"/>
  <c r="S98" i="9" s="1"/>
  <c r="S99" i="9" s="1"/>
  <c r="S107" i="9"/>
  <c r="S121" i="9" s="1"/>
  <c r="R97" i="8"/>
  <c r="R98" i="8" s="1"/>
  <c r="R99" i="8" s="1"/>
  <c r="R107" i="8" s="1"/>
  <c r="R121" i="8" s="1"/>
  <c r="S94" i="8"/>
  <c r="S95" i="8" s="1"/>
  <c r="S96" i="8" s="1"/>
  <c r="S106" i="8" s="1"/>
  <c r="O89" i="10"/>
  <c r="O90" i="10" s="1"/>
  <c r="S88" i="11"/>
  <c r="S89" i="11" s="1"/>
  <c r="S90" i="11" s="1"/>
  <c r="S103" i="11" s="1"/>
  <c r="S119" i="11" s="1"/>
  <c r="S104" i="11"/>
  <c r="S120" i="11" s="1"/>
  <c r="O85" i="11"/>
  <c r="O86" i="11" s="1"/>
  <c r="O87" i="11" s="1"/>
  <c r="O102" i="11" s="1"/>
  <c r="O94" i="9"/>
  <c r="O95" i="9" s="1"/>
  <c r="O96" i="9" s="1"/>
  <c r="O106" i="9" s="1"/>
  <c r="T85" i="8"/>
  <c r="T86" i="8" s="1"/>
  <c r="T87" i="8" s="1"/>
  <c r="T102" i="8" s="1"/>
  <c r="P91" i="10"/>
  <c r="P92" i="10" s="1"/>
  <c r="P93" i="10" s="1"/>
  <c r="P105" i="10" s="1"/>
  <c r="U94" i="10"/>
  <c r="U95" i="10" s="1"/>
  <c r="U96" i="10" s="1"/>
  <c r="U106" i="10" s="1"/>
  <c r="T85" i="9"/>
  <c r="T86" i="9" s="1"/>
  <c r="T87" i="9" s="1"/>
  <c r="T102" i="9" s="1"/>
  <c r="P91" i="9"/>
  <c r="P92" i="9" s="1"/>
  <c r="P93" i="9" s="1"/>
  <c r="P105" i="9" s="1"/>
  <c r="P97" i="9"/>
  <c r="P98" i="9" s="1"/>
  <c r="P99" i="9" s="1"/>
  <c r="P107" i="9" s="1"/>
  <c r="P121" i="9" s="1"/>
  <c r="P85" i="8"/>
  <c r="P86" i="8" s="1"/>
  <c r="P87" i="8" s="1"/>
  <c r="P102" i="8" s="1"/>
  <c r="Q97" i="10"/>
  <c r="Q98" i="10" s="1"/>
  <c r="Q99" i="10" s="1"/>
  <c r="Q107" i="10" s="1"/>
  <c r="Q121" i="10" s="1"/>
  <c r="S94" i="10"/>
  <c r="S95" i="10" s="1"/>
  <c r="S96" i="10" s="1"/>
  <c r="S106" i="10" s="1"/>
  <c r="U107" i="9"/>
  <c r="U121" i="9" s="1"/>
  <c r="Y79" i="2"/>
  <c r="Y80" i="2"/>
  <c r="Y97" i="2" s="1"/>
  <c r="Y77" i="2"/>
  <c r="Y88" i="2" s="1"/>
  <c r="Y76" i="2"/>
  <c r="Y78" i="2"/>
  <c r="Y80" i="8"/>
  <c r="Y79" i="8"/>
  <c r="Y94" i="8" s="1"/>
  <c r="Y95" i="8" s="1"/>
  <c r="Y96" i="8" s="1"/>
  <c r="Y77" i="8"/>
  <c r="Y88" i="8" s="1"/>
  <c r="Y89" i="8" s="1"/>
  <c r="Y90" i="8" s="1"/>
  <c r="Y76" i="8"/>
  <c r="Y85" i="8" s="1"/>
  <c r="Y86" i="8" s="1"/>
  <c r="Y87" i="8" s="1"/>
  <c r="Y78" i="8"/>
  <c r="Q85" i="8"/>
  <c r="Q86" i="8" s="1"/>
  <c r="Q87" i="8" s="1"/>
  <c r="Q102" i="8" s="1"/>
  <c r="Q91" i="8"/>
  <c r="Q92" i="8" s="1"/>
  <c r="Q93" i="8" s="1"/>
  <c r="Q105" i="8" s="1"/>
  <c r="T97" i="10"/>
  <c r="T98" i="10" s="1"/>
  <c r="T99" i="10" s="1"/>
  <c r="T107" i="10" s="1"/>
  <c r="T121" i="10" s="1"/>
  <c r="U94" i="11"/>
  <c r="U95" i="11" s="1"/>
  <c r="U96" i="11" s="1"/>
  <c r="U106" i="11" s="1"/>
  <c r="R102" i="8"/>
  <c r="S97" i="8"/>
  <c r="S98" i="8" s="1"/>
  <c r="S99" i="8" s="1"/>
  <c r="S107" i="8" s="1"/>
  <c r="S121" i="8" s="1"/>
  <c r="T2" i="1"/>
  <c r="S2" i="8"/>
  <c r="S146" i="8" s="1"/>
  <c r="S2" i="11"/>
  <c r="S146" i="11" s="1"/>
  <c r="S2" i="10"/>
  <c r="S146" i="10" s="1"/>
  <c r="S2" i="9"/>
  <c r="S146" i="9" s="1"/>
  <c r="S2" i="7"/>
  <c r="S8" i="7" s="1"/>
  <c r="S2" i="2"/>
  <c r="S146" i="2" s="1"/>
  <c r="O91" i="9"/>
  <c r="O92" i="9" s="1"/>
  <c r="O93" i="9" s="1"/>
  <c r="O105" i="9" s="1"/>
  <c r="O97" i="9"/>
  <c r="O98" i="9" s="1"/>
  <c r="O99" i="9" s="1"/>
  <c r="O107" i="9" s="1"/>
  <c r="O94" i="8"/>
  <c r="O95" i="8" s="1"/>
  <c r="O96" i="8" s="1"/>
  <c r="O106" i="8" s="1"/>
  <c r="U97" i="10"/>
  <c r="U98" i="10" s="1"/>
  <c r="U99" i="10" s="1"/>
  <c r="U107" i="10" s="1"/>
  <c r="U121" i="10" s="1"/>
  <c r="R94" i="11"/>
  <c r="R95" i="11" s="1"/>
  <c r="R96" i="11" s="1"/>
  <c r="R106" i="11" s="1"/>
  <c r="P85" i="9"/>
  <c r="P86" i="9" s="1"/>
  <c r="P87" i="9" s="1"/>
  <c r="P102" i="9" s="1"/>
  <c r="U85" i="8"/>
  <c r="U86" i="8" s="1"/>
  <c r="U87" i="8" s="1"/>
  <c r="U102" i="8" s="1"/>
  <c r="S91" i="10"/>
  <c r="S92" i="10" s="1"/>
  <c r="S93" i="10" s="1"/>
  <c r="S105" i="10" s="1"/>
  <c r="S107" i="10"/>
  <c r="S121" i="10" s="1"/>
  <c r="T94" i="11"/>
  <c r="T95" i="11" s="1"/>
  <c r="T96" i="11" s="1"/>
  <c r="T106" i="11" s="1"/>
  <c r="T97" i="11"/>
  <c r="T98" i="11" s="1"/>
  <c r="T99" i="11" s="1"/>
  <c r="T107" i="11" s="1"/>
  <c r="T121" i="11" s="1"/>
  <c r="U102" i="9"/>
  <c r="Y80" i="9"/>
  <c r="Y97" i="9" s="1"/>
  <c r="Y98" i="9" s="1"/>
  <c r="Y99" i="9" s="1"/>
  <c r="Y79" i="9"/>
  <c r="Y77" i="9"/>
  <c r="Y88" i="9" s="1"/>
  <c r="Y89" i="9" s="1"/>
  <c r="Y90" i="9" s="1"/>
  <c r="Y76" i="9"/>
  <c r="Y78" i="9"/>
  <c r="Y91" i="9" s="1"/>
  <c r="Y92" i="9" s="1"/>
  <c r="Y93" i="9" s="1"/>
  <c r="W103" i="9"/>
  <c r="W119" i="9" s="1"/>
  <c r="W104" i="9"/>
  <c r="W120" i="9" s="1"/>
  <c r="O17" i="10"/>
  <c r="U17" i="10" s="1"/>
  <c r="O121" i="10"/>
  <c r="W95" i="11"/>
  <c r="W96" i="11" s="1"/>
  <c r="W106" i="11" s="1"/>
  <c r="X98" i="2"/>
  <c r="X99" i="2" s="1"/>
  <c r="W95" i="8"/>
  <c r="W96" i="8" s="1"/>
  <c r="W106" i="8" s="1"/>
  <c r="X98" i="9"/>
  <c r="X99" i="9" s="1"/>
  <c r="X95" i="2"/>
  <c r="X96" i="2" s="1"/>
  <c r="W95" i="10"/>
  <c r="W96" i="10" s="1"/>
  <c r="W106" i="10" s="1"/>
  <c r="X92" i="8"/>
  <c r="X93" i="8" s="1"/>
  <c r="W92" i="9"/>
  <c r="W93" i="9" s="1"/>
  <c r="W105" i="9" s="1"/>
  <c r="W91" i="8"/>
  <c r="W92" i="8" s="1"/>
  <c r="W93" i="8" s="1"/>
  <c r="W105" i="8" s="1"/>
  <c r="X89" i="2"/>
  <c r="X90" i="2" s="1"/>
  <c r="W88" i="8"/>
  <c r="X89" i="8"/>
  <c r="X90" i="8" s="1"/>
  <c r="W86" i="8"/>
  <c r="W87" i="8" s="1"/>
  <c r="W102" i="8" s="1"/>
  <c r="W85" i="11"/>
  <c r="W86" i="11" s="1"/>
  <c r="W87" i="11" s="1"/>
  <c r="W102" i="11" s="1"/>
  <c r="S123" i="9"/>
  <c r="U123" i="8"/>
  <c r="V122" i="9"/>
  <c r="X106" i="11"/>
  <c r="S123" i="11"/>
  <c r="W105" i="10"/>
  <c r="X106" i="9"/>
  <c r="X105" i="10"/>
  <c r="X107" i="8"/>
  <c r="X121" i="8" s="1"/>
  <c r="V104" i="8"/>
  <c r="V120" i="8" s="1"/>
  <c r="V103" i="8"/>
  <c r="V119" i="8" s="1"/>
  <c r="V123" i="8"/>
  <c r="S123" i="8"/>
  <c r="X105" i="2"/>
  <c r="U122" i="11"/>
  <c r="X105" i="11"/>
  <c r="X122" i="11" s="1"/>
  <c r="X102" i="8"/>
  <c r="X102" i="10"/>
  <c r="R104" i="9"/>
  <c r="R120" i="9" s="1"/>
  <c r="Y94" i="9"/>
  <c r="Y94" i="2"/>
  <c r="Y97" i="8"/>
  <c r="Y98" i="8" s="1"/>
  <c r="Y99" i="8" s="1"/>
  <c r="Y91" i="8"/>
  <c r="Y92" i="8" s="1"/>
  <c r="Y93" i="8" s="1"/>
  <c r="Y94" i="11"/>
  <c r="Y95" i="11" s="1"/>
  <c r="Y96" i="11" s="1"/>
  <c r="Y88" i="11"/>
  <c r="Y89" i="11" s="1"/>
  <c r="Y90" i="11" s="1"/>
  <c r="R123" i="9"/>
  <c r="Q123" i="9"/>
  <c r="X107" i="11"/>
  <c r="X121" i="11" s="1"/>
  <c r="Z70" i="11"/>
  <c r="Z70" i="10"/>
  <c r="Z70" i="9"/>
  <c r="Z70" i="8"/>
  <c r="Z70" i="2"/>
  <c r="M130" i="1"/>
  <c r="Y88" i="10"/>
  <c r="Y89" i="10" s="1"/>
  <c r="Y90" i="10" s="1"/>
  <c r="Y94" i="10"/>
  <c r="Y95" i="10" s="1"/>
  <c r="Y96" i="10" s="1"/>
  <c r="O92" i="2"/>
  <c r="X107" i="10"/>
  <c r="X121" i="10" s="1"/>
  <c r="T104" i="8"/>
  <c r="T120" i="8" s="1"/>
  <c r="O17" i="11"/>
  <c r="U103" i="11"/>
  <c r="U119" i="11" s="1"/>
  <c r="U104" i="11"/>
  <c r="U120" i="11" s="1"/>
  <c r="W122" i="11"/>
  <c r="W123" i="11"/>
  <c r="O104" i="11"/>
  <c r="O120" i="11" s="1"/>
  <c r="O103" i="11"/>
  <c r="O119" i="11" s="1"/>
  <c r="O122" i="11"/>
  <c r="O123" i="11"/>
  <c r="O44" i="11"/>
  <c r="O34" i="11"/>
  <c r="R122" i="11"/>
  <c r="R123" i="11"/>
  <c r="Q104" i="11"/>
  <c r="Q120" i="11" s="1"/>
  <c r="Q103" i="11"/>
  <c r="Q119" i="11" s="1"/>
  <c r="V122" i="11"/>
  <c r="V123" i="11"/>
  <c r="O122" i="10"/>
  <c r="O123" i="10"/>
  <c r="O34" i="10"/>
  <c r="O44" i="10"/>
  <c r="Q104" i="10"/>
  <c r="Q120" i="10" s="1"/>
  <c r="Q103" i="10"/>
  <c r="Q119" i="10" s="1"/>
  <c r="V122" i="10"/>
  <c r="V123" i="10"/>
  <c r="P104" i="10"/>
  <c r="P120" i="10" s="1"/>
  <c r="P103" i="10"/>
  <c r="P119" i="10" s="1"/>
  <c r="U123" i="10"/>
  <c r="U122" i="10"/>
  <c r="R122" i="10"/>
  <c r="R123" i="10"/>
  <c r="Q123" i="10"/>
  <c r="Q122" i="10"/>
  <c r="R103" i="10"/>
  <c r="R119" i="10" s="1"/>
  <c r="R104" i="10"/>
  <c r="R120" i="10" s="1"/>
  <c r="S103" i="9"/>
  <c r="S119" i="9" s="1"/>
  <c r="S104" i="9"/>
  <c r="S120" i="9" s="1"/>
  <c r="V104" i="9"/>
  <c r="V120" i="9" s="1"/>
  <c r="V103" i="9"/>
  <c r="V119" i="9" s="1"/>
  <c r="U123" i="9"/>
  <c r="U122" i="9"/>
  <c r="U104" i="9"/>
  <c r="U120" i="9" s="1"/>
  <c r="U103" i="9"/>
  <c r="U119" i="9" s="1"/>
  <c r="T123" i="9"/>
  <c r="T122" i="9"/>
  <c r="P123" i="8"/>
  <c r="O27" i="8"/>
  <c r="O37" i="8"/>
  <c r="U104" i="8"/>
  <c r="U120" i="8" s="1"/>
  <c r="U103" i="8"/>
  <c r="U119" i="8" s="1"/>
  <c r="O17" i="8"/>
  <c r="P104" i="8"/>
  <c r="P120" i="8" s="1"/>
  <c r="P103" i="8"/>
  <c r="P119" i="8" s="1"/>
  <c r="R122" i="8"/>
  <c r="R123" i="8"/>
  <c r="V122" i="2"/>
  <c r="V123" i="2"/>
  <c r="W102" i="2"/>
  <c r="S107" i="2"/>
  <c r="S121" i="2" s="1"/>
  <c r="V107" i="2"/>
  <c r="V121" i="2" s="1"/>
  <c r="V104" i="2"/>
  <c r="V120" i="2" s="1"/>
  <c r="V103" i="2"/>
  <c r="V119" i="2" s="1"/>
  <c r="P104" i="2"/>
  <c r="P120" i="2" s="1"/>
  <c r="P103" i="2"/>
  <c r="P119" i="2" s="1"/>
  <c r="T104" i="2"/>
  <c r="T120" i="2" s="1"/>
  <c r="U103" i="2"/>
  <c r="U119" i="2" s="1"/>
  <c r="U107" i="2"/>
  <c r="U121" i="2" s="1"/>
  <c r="O106" i="2"/>
  <c r="R105" i="2"/>
  <c r="U105" i="2"/>
  <c r="P102" i="2"/>
  <c r="T106" i="2"/>
  <c r="U102" i="2"/>
  <c r="S105" i="2"/>
  <c r="T102" i="2"/>
  <c r="P106" i="2"/>
  <c r="X102" i="2"/>
  <c r="U106" i="2"/>
  <c r="W106" i="2"/>
  <c r="Q105" i="2"/>
  <c r="O17" i="2"/>
  <c r="U16" i="1"/>
  <c r="O119" i="9" l="1"/>
  <c r="O104" i="9"/>
  <c r="O103" i="10"/>
  <c r="O119" i="10" s="1"/>
  <c r="O104" i="10"/>
  <c r="O120" i="10" s="1"/>
  <c r="S103" i="10"/>
  <c r="S119" i="10" s="1"/>
  <c r="O121" i="9"/>
  <c r="O17" i="9"/>
  <c r="P123" i="11"/>
  <c r="P122" i="11"/>
  <c r="S123" i="10"/>
  <c r="S122" i="10"/>
  <c r="Q122" i="8"/>
  <c r="Q123" i="8"/>
  <c r="P122" i="10"/>
  <c r="P123" i="10"/>
  <c r="O44" i="9"/>
  <c r="O49" i="9" s="1"/>
  <c r="O34" i="9"/>
  <c r="O122" i="9"/>
  <c r="O123" i="9"/>
  <c r="T123" i="10"/>
  <c r="T122" i="10"/>
  <c r="P122" i="9"/>
  <c r="P123" i="9"/>
  <c r="Y85" i="2"/>
  <c r="Y86" i="2" s="1"/>
  <c r="Y87" i="2" s="1"/>
  <c r="Y102" i="2" s="1"/>
  <c r="T123" i="8"/>
  <c r="T122" i="8"/>
  <c r="O120" i="9"/>
  <c r="O27" i="9"/>
  <c r="T123" i="11"/>
  <c r="T122" i="11"/>
  <c r="O123" i="8"/>
  <c r="O44" i="8"/>
  <c r="O122" i="8"/>
  <c r="O34" i="8"/>
  <c r="J129" i="1"/>
  <c r="K129" i="1"/>
  <c r="Z80" i="9"/>
  <c r="Z79" i="9"/>
  <c r="Z77" i="9"/>
  <c r="Z76" i="9"/>
  <c r="Z85" i="9" s="1"/>
  <c r="Z86" i="9" s="1"/>
  <c r="Z87" i="9" s="1"/>
  <c r="Z78" i="9"/>
  <c r="Z91" i="9" s="1"/>
  <c r="Z92" i="9" s="1"/>
  <c r="Z93" i="9" s="1"/>
  <c r="Y85" i="9"/>
  <c r="Y86" i="9" s="1"/>
  <c r="Y87" i="9" s="1"/>
  <c r="Y102" i="9" s="1"/>
  <c r="U2" i="1"/>
  <c r="T2" i="11"/>
  <c r="T146" i="11" s="1"/>
  <c r="T2" i="10"/>
  <c r="T146" i="10" s="1"/>
  <c r="T2" i="9"/>
  <c r="T146" i="9" s="1"/>
  <c r="T2" i="8"/>
  <c r="T146" i="8" s="1"/>
  <c r="T2" i="2"/>
  <c r="T146" i="2" s="1"/>
  <c r="T2" i="7"/>
  <c r="T8" i="7" s="1"/>
  <c r="Z80" i="10"/>
  <c r="Z97" i="10" s="1"/>
  <c r="Z98" i="10" s="1"/>
  <c r="Z99" i="10" s="1"/>
  <c r="Z79" i="10"/>
  <c r="Z77" i="10"/>
  <c r="Z76" i="10"/>
  <c r="Z85" i="10" s="1"/>
  <c r="Z86" i="10" s="1"/>
  <c r="Z87" i="10" s="1"/>
  <c r="Z78" i="10"/>
  <c r="Z91" i="10" s="1"/>
  <c r="Z92" i="10" s="1"/>
  <c r="Z93" i="10" s="1"/>
  <c r="Q122" i="11"/>
  <c r="Q123" i="11"/>
  <c r="Z79" i="2"/>
  <c r="Z94" i="2" s="1"/>
  <c r="Z80" i="2"/>
  <c r="Z76" i="2"/>
  <c r="Z77" i="2"/>
  <c r="Z88" i="2" s="1"/>
  <c r="Z78" i="2"/>
  <c r="Z80" i="11"/>
  <c r="Z97" i="11" s="1"/>
  <c r="Z98" i="11" s="1"/>
  <c r="Z99" i="11" s="1"/>
  <c r="Z79" i="11"/>
  <c r="Z77" i="11"/>
  <c r="Z76" i="11"/>
  <c r="Z85" i="11" s="1"/>
  <c r="Z86" i="11" s="1"/>
  <c r="Z87" i="11" s="1"/>
  <c r="Z78" i="11"/>
  <c r="Z91" i="11" s="1"/>
  <c r="Z92" i="11" s="1"/>
  <c r="Z93" i="11" s="1"/>
  <c r="Z80" i="8"/>
  <c r="Z97" i="8" s="1"/>
  <c r="Z98" i="8" s="1"/>
  <c r="Z99" i="8" s="1"/>
  <c r="Z79" i="8"/>
  <c r="Z94" i="8" s="1"/>
  <c r="Z95" i="8" s="1"/>
  <c r="Z96" i="8" s="1"/>
  <c r="Z77" i="8"/>
  <c r="Z88" i="8" s="1"/>
  <c r="Z89" i="8" s="1"/>
  <c r="Z90" i="8" s="1"/>
  <c r="Z76" i="8"/>
  <c r="Z85" i="8" s="1"/>
  <c r="Z86" i="8" s="1"/>
  <c r="Z87" i="8" s="1"/>
  <c r="Z78" i="8"/>
  <c r="O51" i="10"/>
  <c r="Y95" i="2"/>
  <c r="Y96" i="2" s="1"/>
  <c r="Y95" i="9"/>
  <c r="Y96" i="9" s="1"/>
  <c r="Y98" i="2"/>
  <c r="Y99" i="2" s="1"/>
  <c r="Y107" i="2" s="1"/>
  <c r="Y121" i="2" s="1"/>
  <c r="W122" i="8"/>
  <c r="W123" i="8"/>
  <c r="Y91" i="2"/>
  <c r="W89" i="8"/>
  <c r="W90" i="8" s="1"/>
  <c r="Y89" i="2"/>
  <c r="Y90" i="2" s="1"/>
  <c r="O93" i="2"/>
  <c r="O105" i="2" s="1"/>
  <c r="W122" i="9"/>
  <c r="W123" i="9"/>
  <c r="X123" i="11"/>
  <c r="W122" i="10"/>
  <c r="W123" i="10"/>
  <c r="X123" i="10"/>
  <c r="X122" i="10"/>
  <c r="Y106" i="11"/>
  <c r="Y105" i="9"/>
  <c r="Y106" i="8"/>
  <c r="K130" i="1"/>
  <c r="K131" i="1" s="1"/>
  <c r="J130" i="1"/>
  <c r="Y107" i="10"/>
  <c r="Y121" i="10" s="1"/>
  <c r="L130" i="1"/>
  <c r="L131" i="1" s="1"/>
  <c r="Z94" i="10"/>
  <c r="Z95" i="10" s="1"/>
  <c r="Z96" i="10" s="1"/>
  <c r="Z88" i="10"/>
  <c r="Z89" i="10" s="1"/>
  <c r="Z90" i="10" s="1"/>
  <c r="X105" i="8"/>
  <c r="W106" i="9"/>
  <c r="X107" i="9"/>
  <c r="X121" i="9" s="1"/>
  <c r="Z88" i="11"/>
  <c r="Z89" i="11" s="1"/>
  <c r="Z90" i="11" s="1"/>
  <c r="Y107" i="8"/>
  <c r="Y121" i="8" s="1"/>
  <c r="X106" i="10"/>
  <c r="W107" i="10"/>
  <c r="W121" i="10" s="1"/>
  <c r="X106" i="8"/>
  <c r="X105" i="9"/>
  <c r="X102" i="11"/>
  <c r="Z97" i="2"/>
  <c r="Z91" i="8"/>
  <c r="Z92" i="8" s="1"/>
  <c r="Z93" i="8" s="1"/>
  <c r="Y102" i="8"/>
  <c r="Y107" i="9"/>
  <c r="Y121" i="9" s="1"/>
  <c r="Z94" i="9"/>
  <c r="Z88" i="9"/>
  <c r="Z89" i="9" s="1"/>
  <c r="Z90" i="9" s="1"/>
  <c r="Z97" i="9"/>
  <c r="Z98" i="9" s="1"/>
  <c r="Z99" i="9" s="1"/>
  <c r="X102" i="9"/>
  <c r="Y105" i="11"/>
  <c r="Y105" i="10"/>
  <c r="Y103" i="11"/>
  <c r="Y119" i="11" s="1"/>
  <c r="Y104" i="11"/>
  <c r="Y120" i="11" s="1"/>
  <c r="Y107" i="11"/>
  <c r="Y121" i="11" s="1"/>
  <c r="Y106" i="10"/>
  <c r="O37" i="11"/>
  <c r="O27" i="11"/>
  <c r="U17" i="11"/>
  <c r="O51" i="11"/>
  <c r="O37" i="10"/>
  <c r="O27" i="10"/>
  <c r="U27" i="8"/>
  <c r="O50" i="8"/>
  <c r="O51" i="8"/>
  <c r="U17" i="8"/>
  <c r="U37" i="8"/>
  <c r="O49" i="8"/>
  <c r="Q122" i="2"/>
  <c r="Q123" i="2"/>
  <c r="U123" i="2"/>
  <c r="U122" i="2"/>
  <c r="X122" i="2"/>
  <c r="X123" i="2"/>
  <c r="R122" i="2"/>
  <c r="R123" i="2"/>
  <c r="S123" i="2"/>
  <c r="S122" i="2"/>
  <c r="O103" i="2"/>
  <c r="O104" i="2"/>
  <c r="W104" i="2"/>
  <c r="W120" i="2" s="1"/>
  <c r="W103" i="2"/>
  <c r="W119" i="2" s="1"/>
  <c r="R107" i="2"/>
  <c r="R121" i="2" s="1"/>
  <c r="R103" i="2"/>
  <c r="R119" i="2" s="1"/>
  <c r="R104" i="2"/>
  <c r="R120" i="2" s="1"/>
  <c r="S103" i="2"/>
  <c r="S119" i="2" s="1"/>
  <c r="S104" i="2"/>
  <c r="S120" i="2" s="1"/>
  <c r="P107" i="2"/>
  <c r="P121" i="2" s="1"/>
  <c r="U17" i="2"/>
  <c r="O51" i="2"/>
  <c r="Q102" i="2"/>
  <c r="Q106" i="2"/>
  <c r="X106" i="2"/>
  <c r="R106" i="2"/>
  <c r="T105" i="2"/>
  <c r="P105" i="2"/>
  <c r="W105" i="2"/>
  <c r="M131" i="1"/>
  <c r="V16" i="1"/>
  <c r="Z94" i="11" l="1"/>
  <c r="Z95" i="11" s="1"/>
  <c r="Z96" i="11" s="1"/>
  <c r="U27" i="9"/>
  <c r="O50" i="9"/>
  <c r="V2" i="1"/>
  <c r="U2" i="11"/>
  <c r="U146" i="11" s="1"/>
  <c r="U2" i="10"/>
  <c r="U146" i="10" s="1"/>
  <c r="U2" i="9"/>
  <c r="U146" i="9" s="1"/>
  <c r="U2" i="8"/>
  <c r="U146" i="8" s="1"/>
  <c r="U2" i="2"/>
  <c r="U146" i="2" s="1"/>
  <c r="U2" i="7"/>
  <c r="U8" i="7" s="1"/>
  <c r="U17" i="9"/>
  <c r="O51" i="9"/>
  <c r="O37" i="2"/>
  <c r="O119" i="2"/>
  <c r="Z95" i="2"/>
  <c r="Z96" i="2" s="1"/>
  <c r="Z106" i="2" s="1"/>
  <c r="O27" i="2"/>
  <c r="U27" i="2" s="1"/>
  <c r="O120" i="2"/>
  <c r="Z98" i="2"/>
  <c r="Z99" i="2" s="1"/>
  <c r="Z107" i="2" s="1"/>
  <c r="Z121" i="2" s="1"/>
  <c r="Z95" i="9"/>
  <c r="Z96" i="9" s="1"/>
  <c r="Z91" i="2"/>
  <c r="Y92" i="2"/>
  <c r="Y93" i="2" s="1"/>
  <c r="Y105" i="2" s="1"/>
  <c r="Z89" i="2"/>
  <c r="Z90" i="2" s="1"/>
  <c r="W104" i="8"/>
  <c r="W120" i="8" s="1"/>
  <c r="W103" i="8"/>
  <c r="W119" i="8" s="1"/>
  <c r="Z85" i="2"/>
  <c r="O122" i="2"/>
  <c r="O34" i="2"/>
  <c r="O50" i="2" s="1"/>
  <c r="O44" i="2"/>
  <c r="O123" i="2"/>
  <c r="Z106" i="11"/>
  <c r="Z106" i="10"/>
  <c r="Z107" i="11"/>
  <c r="Z121" i="11" s="1"/>
  <c r="Z107" i="10"/>
  <c r="Z121" i="10" s="1"/>
  <c r="Z102" i="10"/>
  <c r="Z105" i="8"/>
  <c r="Z122" i="8" s="1"/>
  <c r="Z102" i="11"/>
  <c r="Z105" i="9"/>
  <c r="Z122" i="9" s="1"/>
  <c r="Z107" i="9"/>
  <c r="Z121" i="9" s="1"/>
  <c r="Y104" i="9"/>
  <c r="Y120" i="9" s="1"/>
  <c r="Y103" i="9"/>
  <c r="Y119" i="9" s="1"/>
  <c r="X103" i="11"/>
  <c r="X119" i="11" s="1"/>
  <c r="X104" i="11"/>
  <c r="X120" i="11" s="1"/>
  <c r="X103" i="10"/>
  <c r="X119" i="10" s="1"/>
  <c r="X104" i="10"/>
  <c r="X120" i="10" s="1"/>
  <c r="X104" i="8"/>
  <c r="X120" i="8" s="1"/>
  <c r="X103" i="8"/>
  <c r="X119" i="8" s="1"/>
  <c r="X123" i="9"/>
  <c r="X122" i="9"/>
  <c r="X104" i="9"/>
  <c r="X120" i="9" s="1"/>
  <c r="X103" i="9"/>
  <c r="X119" i="9" s="1"/>
  <c r="W104" i="10"/>
  <c r="W120" i="10" s="1"/>
  <c r="W103" i="10"/>
  <c r="W119" i="10" s="1"/>
  <c r="Y106" i="9"/>
  <c r="Y102" i="11"/>
  <c r="Y105" i="8"/>
  <c r="Y102" i="10"/>
  <c r="X123" i="8"/>
  <c r="X122" i="8"/>
  <c r="Y106" i="2"/>
  <c r="Z106" i="8"/>
  <c r="Z105" i="10"/>
  <c r="Z107" i="8"/>
  <c r="Z121" i="8" s="1"/>
  <c r="Y123" i="9"/>
  <c r="Y122" i="9"/>
  <c r="Z102" i="8"/>
  <c r="Z105" i="11"/>
  <c r="Y122" i="10"/>
  <c r="Y123" i="10"/>
  <c r="Y122" i="11"/>
  <c r="Y123" i="11"/>
  <c r="L132" i="1"/>
  <c r="U37" i="11"/>
  <c r="O49" i="11"/>
  <c r="U27" i="11"/>
  <c r="O50" i="11"/>
  <c r="U27" i="10"/>
  <c r="O50" i="10"/>
  <c r="U37" i="10"/>
  <c r="O49" i="10"/>
  <c r="W123" i="2"/>
  <c r="W122" i="2"/>
  <c r="P122" i="2"/>
  <c r="P123" i="2"/>
  <c r="T123" i="2"/>
  <c r="T122" i="2"/>
  <c r="T107" i="2"/>
  <c r="T121" i="2" s="1"/>
  <c r="Y104" i="2"/>
  <c r="Y120" i="2" s="1"/>
  <c r="Y103" i="2"/>
  <c r="Y119" i="2" s="1"/>
  <c r="Q104" i="2"/>
  <c r="Q120" i="2" s="1"/>
  <c r="Q103" i="2"/>
  <c r="Q119" i="2" s="1"/>
  <c r="W107" i="2"/>
  <c r="W121" i="2" s="1"/>
  <c r="X103" i="2"/>
  <c r="X119" i="2" s="1"/>
  <c r="X104" i="2"/>
  <c r="X120" i="2" s="1"/>
  <c r="X107" i="2"/>
  <c r="X121" i="2" s="1"/>
  <c r="Q107" i="2"/>
  <c r="Q121" i="2" s="1"/>
  <c r="U37" i="2"/>
  <c r="K132" i="1"/>
  <c r="W16" i="1"/>
  <c r="X16" i="1" s="1"/>
  <c r="Y16" i="1" s="1"/>
  <c r="Z16" i="1" s="1"/>
  <c r="K146" i="1" s="1"/>
  <c r="L160" i="1" s="1"/>
  <c r="K144" i="1"/>
  <c r="L158" i="1" s="1"/>
  <c r="M132" i="1"/>
  <c r="J131" i="1"/>
  <c r="K139" i="1" l="1"/>
  <c r="X22" i="1"/>
  <c r="X135" i="11" s="1"/>
  <c r="X136" i="11" s="1"/>
  <c r="T22" i="1"/>
  <c r="T135" i="10" s="1"/>
  <c r="T136" i="10" s="1"/>
  <c r="K94" i="1"/>
  <c r="K27" i="1"/>
  <c r="K95" i="1"/>
  <c r="O49" i="2"/>
  <c r="K140" i="1"/>
  <c r="L154" i="1" s="1"/>
  <c r="K92" i="1"/>
  <c r="P22" i="1"/>
  <c r="P135" i="11" s="1"/>
  <c r="P136" i="11" s="1"/>
  <c r="K93" i="1"/>
  <c r="K143" i="1"/>
  <c r="L157" i="1" s="1"/>
  <c r="W2" i="1"/>
  <c r="V2" i="11"/>
  <c r="V146" i="11" s="1"/>
  <c r="V2" i="10"/>
  <c r="V146" i="10" s="1"/>
  <c r="V2" i="9"/>
  <c r="V146" i="9" s="1"/>
  <c r="V2" i="8"/>
  <c r="V146" i="8" s="1"/>
  <c r="V2" i="7"/>
  <c r="V8" i="7" s="1"/>
  <c r="V2" i="2"/>
  <c r="V146" i="2" s="1"/>
  <c r="Y122" i="2"/>
  <c r="Y123" i="2"/>
  <c r="Z92" i="2"/>
  <c r="Z93" i="2" s="1"/>
  <c r="Z105" i="2" s="1"/>
  <c r="Z86" i="2"/>
  <c r="Z87" i="2" s="1"/>
  <c r="Z102" i="2" s="1"/>
  <c r="X135" i="10"/>
  <c r="X136" i="10" s="1"/>
  <c r="X135" i="9"/>
  <c r="X136" i="9" s="1"/>
  <c r="X135" i="8"/>
  <c r="X136" i="8" s="1"/>
  <c r="T135" i="8"/>
  <c r="T136" i="8" s="1"/>
  <c r="J139" i="9"/>
  <c r="J139" i="8"/>
  <c r="J139" i="10"/>
  <c r="J139" i="11"/>
  <c r="P135" i="10"/>
  <c r="P136" i="10" s="1"/>
  <c r="P135" i="9"/>
  <c r="P136" i="9" s="1"/>
  <c r="P135" i="8"/>
  <c r="P136" i="8" s="1"/>
  <c r="Z123" i="9"/>
  <c r="Z123" i="8"/>
  <c r="Y104" i="10"/>
  <c r="Y120" i="10" s="1"/>
  <c r="Y103" i="10"/>
  <c r="Y119" i="10" s="1"/>
  <c r="Z104" i="2"/>
  <c r="Z120" i="2" s="1"/>
  <c r="Z103" i="2"/>
  <c r="Z119" i="2" s="1"/>
  <c r="Z102" i="9"/>
  <c r="Z104" i="10"/>
  <c r="Z120" i="10" s="1"/>
  <c r="Y123" i="8"/>
  <c r="Y122" i="8"/>
  <c r="Z106" i="9"/>
  <c r="Z122" i="11"/>
  <c r="Z123" i="11"/>
  <c r="Z103" i="10"/>
  <c r="Z119" i="10" s="1"/>
  <c r="Z122" i="10"/>
  <c r="Z123" i="10"/>
  <c r="Y103" i="8"/>
  <c r="Y119" i="8" s="1"/>
  <c r="Y104" i="8"/>
  <c r="Y120" i="8" s="1"/>
  <c r="L153" i="1"/>
  <c r="K153" i="1"/>
  <c r="P135" i="2"/>
  <c r="P136" i="2" s="1"/>
  <c r="X135" i="2"/>
  <c r="X136" i="2" s="1"/>
  <c r="J139" i="2"/>
  <c r="M160" i="1"/>
  <c r="K160" i="1"/>
  <c r="J160" i="1"/>
  <c r="M153" i="1"/>
  <c r="J132" i="1"/>
  <c r="J153" i="1" s="1"/>
  <c r="U22" i="1"/>
  <c r="J27" i="1"/>
  <c r="K138" i="1"/>
  <c r="L152" i="1" s="1"/>
  <c r="K141" i="1"/>
  <c r="L155" i="1" s="1"/>
  <c r="J158" i="1"/>
  <c r="M158" i="1"/>
  <c r="K158" i="1"/>
  <c r="M157" i="1"/>
  <c r="K157" i="1"/>
  <c r="J157" i="1"/>
  <c r="J154" i="1"/>
  <c r="M154" i="1"/>
  <c r="K154" i="1"/>
  <c r="K142" i="1"/>
  <c r="L156" i="1" s="1"/>
  <c r="K96" i="1"/>
  <c r="J107" i="1" s="1"/>
  <c r="K145" i="1"/>
  <c r="L159" i="1" s="1"/>
  <c r="K136" i="1"/>
  <c r="L150" i="1" s="1"/>
  <c r="K135" i="1"/>
  <c r="L149" i="1" s="1"/>
  <c r="K97" i="1"/>
  <c r="K137" i="1"/>
  <c r="L151" i="1" s="1"/>
  <c r="Q22" i="1"/>
  <c r="Z22" i="1"/>
  <c r="S22" i="1"/>
  <c r="V22" i="1"/>
  <c r="O22" i="1"/>
  <c r="Y22" i="1"/>
  <c r="W22" i="1"/>
  <c r="R22" i="1"/>
  <c r="T135" i="2" l="1"/>
  <c r="T136" i="2" s="1"/>
  <c r="T135" i="11"/>
  <c r="T136" i="11" s="1"/>
  <c r="T135" i="9"/>
  <c r="T136" i="9" s="1"/>
  <c r="R40" i="2"/>
  <c r="R40" i="8"/>
  <c r="R40" i="11"/>
  <c r="R40" i="9"/>
  <c r="R40" i="10"/>
  <c r="X2" i="1"/>
  <c r="W2" i="8"/>
  <c r="W146" i="8" s="1"/>
  <c r="W2" i="11"/>
  <c r="W146" i="11" s="1"/>
  <c r="W2" i="10"/>
  <c r="W146" i="10" s="1"/>
  <c r="W2" i="9"/>
  <c r="W146" i="9" s="1"/>
  <c r="W2" i="7"/>
  <c r="W8" i="7" s="1"/>
  <c r="W2" i="2"/>
  <c r="W146" i="2" s="1"/>
  <c r="Z122" i="2"/>
  <c r="Z123" i="2"/>
  <c r="W135" i="8"/>
  <c r="W136" i="8" s="1"/>
  <c r="W135" i="11"/>
  <c r="W136" i="11" s="1"/>
  <c r="W135" i="10"/>
  <c r="W136" i="10" s="1"/>
  <c r="W135" i="9"/>
  <c r="W136" i="9" s="1"/>
  <c r="Q32" i="9"/>
  <c r="Q32" i="8"/>
  <c r="Q42" i="8"/>
  <c r="Q32" i="11"/>
  <c r="Q32" i="10"/>
  <c r="Q22" i="11"/>
  <c r="Q42" i="9"/>
  <c r="Q22" i="8"/>
  <c r="Q42" i="11"/>
  <c r="Q42" i="10"/>
  <c r="Q22" i="10"/>
  <c r="Q22" i="9"/>
  <c r="Y135" i="11"/>
  <c r="Y136" i="11" s="1"/>
  <c r="Y135" i="10"/>
  <c r="Y136" i="10" s="1"/>
  <c r="Y135" i="9"/>
  <c r="Y136" i="9" s="1"/>
  <c r="Y135" i="8"/>
  <c r="Y136" i="8" s="1"/>
  <c r="Z127" i="11"/>
  <c r="Y127" i="11"/>
  <c r="T127" i="11"/>
  <c r="O127" i="11"/>
  <c r="R127" i="10"/>
  <c r="Q127" i="10"/>
  <c r="W127" i="10"/>
  <c r="X127" i="9"/>
  <c r="S127" i="9"/>
  <c r="Z127" i="8"/>
  <c r="Y127" i="8"/>
  <c r="T127" i="8"/>
  <c r="O127" i="8"/>
  <c r="S127" i="8"/>
  <c r="V127" i="11"/>
  <c r="U127" i="11"/>
  <c r="P127" i="11"/>
  <c r="X127" i="10"/>
  <c r="S127" i="10"/>
  <c r="Z127" i="9"/>
  <c r="Y127" i="9"/>
  <c r="T127" i="9"/>
  <c r="O127" i="9"/>
  <c r="V127" i="8"/>
  <c r="U127" i="8"/>
  <c r="P127" i="8"/>
  <c r="R127" i="11"/>
  <c r="Q127" i="11"/>
  <c r="W127" i="11"/>
  <c r="Z127" i="10"/>
  <c r="Y127" i="10"/>
  <c r="T127" i="10"/>
  <c r="O127" i="10"/>
  <c r="V127" i="9"/>
  <c r="U127" i="9"/>
  <c r="P127" i="9"/>
  <c r="R127" i="8"/>
  <c r="Q127" i="8"/>
  <c r="W127" i="8"/>
  <c r="X127" i="8"/>
  <c r="X127" i="11"/>
  <c r="S127" i="11"/>
  <c r="V127" i="10"/>
  <c r="U127" i="10"/>
  <c r="P127" i="10"/>
  <c r="R127" i="9"/>
  <c r="Q127" i="9"/>
  <c r="W127" i="9"/>
  <c r="L161" i="1"/>
  <c r="S41" i="11"/>
  <c r="S41" i="10"/>
  <c r="S41" i="9"/>
  <c r="S41" i="8"/>
  <c r="Z135" i="11"/>
  <c r="Z136" i="11" s="1"/>
  <c r="Z137" i="11" s="1"/>
  <c r="Z135" i="10"/>
  <c r="Z136" i="10" s="1"/>
  <c r="Z137" i="10" s="1"/>
  <c r="Z135" i="9"/>
  <c r="Z136" i="9" s="1"/>
  <c r="Z137" i="9" s="1"/>
  <c r="Z135" i="8"/>
  <c r="Z136" i="8" s="1"/>
  <c r="Z137" i="8" s="1"/>
  <c r="O135" i="11"/>
  <c r="O135" i="10"/>
  <c r="O135" i="9"/>
  <c r="O135" i="8"/>
  <c r="Q135" i="8"/>
  <c r="Q136" i="8" s="1"/>
  <c r="Q135" i="11"/>
  <c r="Q136" i="11" s="1"/>
  <c r="Q135" i="10"/>
  <c r="Q136" i="10" s="1"/>
  <c r="Q135" i="9"/>
  <c r="Q136" i="9" s="1"/>
  <c r="U135" i="11"/>
  <c r="U136" i="11" s="1"/>
  <c r="U135" i="10"/>
  <c r="U136" i="10" s="1"/>
  <c r="U135" i="9"/>
  <c r="U136" i="9" s="1"/>
  <c r="U135" i="8"/>
  <c r="U136" i="8" s="1"/>
  <c r="R135" i="11"/>
  <c r="R136" i="11" s="1"/>
  <c r="R135" i="10"/>
  <c r="R136" i="10" s="1"/>
  <c r="R135" i="9"/>
  <c r="R136" i="9" s="1"/>
  <c r="R135" i="8"/>
  <c r="R136" i="8" s="1"/>
  <c r="V135" i="8"/>
  <c r="V136" i="8" s="1"/>
  <c r="V135" i="11"/>
  <c r="V136" i="11" s="1"/>
  <c r="V135" i="10"/>
  <c r="V136" i="10" s="1"/>
  <c r="V135" i="9"/>
  <c r="V136" i="9" s="1"/>
  <c r="S135" i="11"/>
  <c r="S136" i="11" s="1"/>
  <c r="S135" i="10"/>
  <c r="S136" i="10" s="1"/>
  <c r="S135" i="9"/>
  <c r="S136" i="9" s="1"/>
  <c r="S135" i="8"/>
  <c r="S136" i="8" s="1"/>
  <c r="X137" i="11"/>
  <c r="Z103" i="8"/>
  <c r="Z119" i="8" s="1"/>
  <c r="Z104" i="8"/>
  <c r="Z120" i="8" s="1"/>
  <c r="Z104" i="9"/>
  <c r="Z120" i="9" s="1"/>
  <c r="Z103" i="9"/>
  <c r="Z119" i="9" s="1"/>
  <c r="Z104" i="11"/>
  <c r="Z120" i="11" s="1"/>
  <c r="Z103" i="11"/>
  <c r="Z119" i="11" s="1"/>
  <c r="S135" i="2"/>
  <c r="S136" i="2" s="1"/>
  <c r="Z135" i="2"/>
  <c r="Z136" i="2" s="1"/>
  <c r="Z137" i="2" s="1"/>
  <c r="O135" i="2"/>
  <c r="O136" i="2" s="1"/>
  <c r="Q135" i="2"/>
  <c r="Q136" i="2" s="1"/>
  <c r="V127" i="2"/>
  <c r="U127" i="2"/>
  <c r="O127" i="2"/>
  <c r="S127" i="2"/>
  <c r="R127" i="2"/>
  <c r="Q127" i="2"/>
  <c r="T127" i="2"/>
  <c r="X127" i="2"/>
  <c r="Z127" i="2"/>
  <c r="Y127" i="2"/>
  <c r="P127" i="2"/>
  <c r="W127" i="2"/>
  <c r="J105" i="1"/>
  <c r="W135" i="2"/>
  <c r="W136" i="2" s="1"/>
  <c r="Y135" i="2"/>
  <c r="Y136" i="2" s="1"/>
  <c r="R135" i="2"/>
  <c r="R136" i="2" s="1"/>
  <c r="V135" i="2"/>
  <c r="V136" i="2" s="1"/>
  <c r="L106" i="1"/>
  <c r="U135" i="2"/>
  <c r="U136" i="2" s="1"/>
  <c r="Q42" i="2"/>
  <c r="Q32" i="2"/>
  <c r="Q22" i="2"/>
  <c r="S41" i="2"/>
  <c r="K151" i="1"/>
  <c r="J151" i="1"/>
  <c r="M151" i="1"/>
  <c r="K159" i="1"/>
  <c r="J159" i="1"/>
  <c r="M159" i="1"/>
  <c r="J106" i="1"/>
  <c r="M149" i="1"/>
  <c r="K149" i="1"/>
  <c r="J149" i="1"/>
  <c r="M156" i="1"/>
  <c r="K156" i="1"/>
  <c r="J156" i="1"/>
  <c r="K106" i="1"/>
  <c r="K105" i="1"/>
  <c r="K107" i="1"/>
  <c r="J22" i="1"/>
  <c r="M150" i="1"/>
  <c r="K150" i="1"/>
  <c r="J150" i="1"/>
  <c r="K155" i="1"/>
  <c r="J155" i="1"/>
  <c r="M155" i="1"/>
  <c r="L105" i="1"/>
  <c r="L107" i="1"/>
  <c r="M152" i="1"/>
  <c r="K152" i="1"/>
  <c r="J152" i="1"/>
  <c r="Q44" i="10" l="1"/>
  <c r="U44" i="10" s="1"/>
  <c r="V137" i="10"/>
  <c r="V137" i="11"/>
  <c r="X137" i="10"/>
  <c r="V137" i="9"/>
  <c r="X137" i="9"/>
  <c r="S137" i="8"/>
  <c r="V137" i="8"/>
  <c r="V40" i="9"/>
  <c r="U40" i="9"/>
  <c r="R49" i="9"/>
  <c r="V40" i="11"/>
  <c r="U40" i="11"/>
  <c r="R49" i="11"/>
  <c r="Y2" i="1"/>
  <c r="X2" i="11"/>
  <c r="X146" i="11" s="1"/>
  <c r="X2" i="10"/>
  <c r="X146" i="10" s="1"/>
  <c r="X2" i="9"/>
  <c r="X146" i="9" s="1"/>
  <c r="X2" i="8"/>
  <c r="X146" i="8" s="1"/>
  <c r="X2" i="2"/>
  <c r="X146" i="2" s="1"/>
  <c r="X2" i="7"/>
  <c r="X8" i="7" s="1"/>
  <c r="V40" i="8"/>
  <c r="U40" i="8"/>
  <c r="R49" i="8"/>
  <c r="V40" i="10"/>
  <c r="U40" i="10"/>
  <c r="R49" i="10"/>
  <c r="U40" i="2"/>
  <c r="V40" i="2"/>
  <c r="R49" i="2"/>
  <c r="T137" i="9"/>
  <c r="T137" i="11"/>
  <c r="P137" i="8"/>
  <c r="P137" i="10"/>
  <c r="W137" i="8"/>
  <c r="S137" i="9"/>
  <c r="T137" i="10"/>
  <c r="P137" i="11"/>
  <c r="Q34" i="2"/>
  <c r="V34" i="2" s="1"/>
  <c r="Q34" i="11"/>
  <c r="V34" i="11" s="1"/>
  <c r="S31" i="10"/>
  <c r="S31" i="8"/>
  <c r="S31" i="9"/>
  <c r="S31" i="11"/>
  <c r="Q34" i="9"/>
  <c r="U34" i="9" s="1"/>
  <c r="Q34" i="8"/>
  <c r="U34" i="8" s="1"/>
  <c r="S137" i="10"/>
  <c r="R137" i="11"/>
  <c r="U137" i="8"/>
  <c r="Q137" i="9"/>
  <c r="O136" i="8"/>
  <c r="O137" i="8" s="1"/>
  <c r="U41" i="8"/>
  <c r="S49" i="8"/>
  <c r="V41" i="8"/>
  <c r="X137" i="8"/>
  <c r="Y137" i="8"/>
  <c r="U22" i="9"/>
  <c r="V22" i="9"/>
  <c r="U22" i="8"/>
  <c r="V22" i="8"/>
  <c r="U32" i="11"/>
  <c r="V32" i="11"/>
  <c r="W137" i="9"/>
  <c r="R30" i="8"/>
  <c r="R20" i="8"/>
  <c r="R30" i="10"/>
  <c r="R20" i="9"/>
  <c r="R30" i="11"/>
  <c r="R20" i="10"/>
  <c r="R20" i="11"/>
  <c r="R30" i="9"/>
  <c r="Q34" i="10"/>
  <c r="U34" i="10" s="1"/>
  <c r="S137" i="11"/>
  <c r="R137" i="8"/>
  <c r="U137" i="9"/>
  <c r="Q137" i="10"/>
  <c r="O136" i="9"/>
  <c r="O137" i="9" s="1"/>
  <c r="S49" i="9"/>
  <c r="U41" i="9"/>
  <c r="V41" i="9"/>
  <c r="T137" i="8"/>
  <c r="Y137" i="9"/>
  <c r="U22" i="10"/>
  <c r="V22" i="10"/>
  <c r="U42" i="9"/>
  <c r="V42" i="9"/>
  <c r="U42" i="8"/>
  <c r="V42" i="8"/>
  <c r="W137" i="10"/>
  <c r="R137" i="9"/>
  <c r="U137" i="10"/>
  <c r="Q137" i="11"/>
  <c r="O136" i="10"/>
  <c r="O137" i="10" s="1"/>
  <c r="V41" i="10"/>
  <c r="U41" i="10"/>
  <c r="S49" i="10"/>
  <c r="Y137" i="10"/>
  <c r="U42" i="10"/>
  <c r="V42" i="10"/>
  <c r="V22" i="11"/>
  <c r="U22" i="11"/>
  <c r="U32" i="8"/>
  <c r="V32" i="8"/>
  <c r="W137" i="11"/>
  <c r="R137" i="10"/>
  <c r="P137" i="9"/>
  <c r="U137" i="11"/>
  <c r="Q137" i="8"/>
  <c r="O136" i="11"/>
  <c r="O137" i="11" s="1"/>
  <c r="S49" i="11"/>
  <c r="V41" i="11"/>
  <c r="U41" i="11"/>
  <c r="Y137" i="11"/>
  <c r="V42" i="11"/>
  <c r="U42" i="11"/>
  <c r="V32" i="10"/>
  <c r="U32" i="10"/>
  <c r="V32" i="9"/>
  <c r="U32" i="9"/>
  <c r="Y137" i="2"/>
  <c r="S21" i="9"/>
  <c r="S21" i="8"/>
  <c r="S21" i="11"/>
  <c r="S21" i="10"/>
  <c r="X137" i="2"/>
  <c r="W137" i="2"/>
  <c r="J161" i="1"/>
  <c r="Q44" i="11" s="1"/>
  <c r="P137" i="2"/>
  <c r="U41" i="2"/>
  <c r="V41" i="2"/>
  <c r="S49" i="2"/>
  <c r="U32" i="2"/>
  <c r="V32" i="2"/>
  <c r="U42" i="2"/>
  <c r="V42" i="2"/>
  <c r="U137" i="2"/>
  <c r="T137" i="2"/>
  <c r="Q137" i="2"/>
  <c r="V22" i="2"/>
  <c r="U22" i="2"/>
  <c r="O137" i="2"/>
  <c r="S21" i="2"/>
  <c r="R20" i="2"/>
  <c r="R30" i="2"/>
  <c r="S31" i="2"/>
  <c r="V137" i="2"/>
  <c r="R137" i="2"/>
  <c r="S137" i="2"/>
  <c r="K161" i="1"/>
  <c r="M161" i="1"/>
  <c r="V44" i="11" l="1"/>
  <c r="U44" i="11"/>
  <c r="Q44" i="9"/>
  <c r="U44" i="9" s="1"/>
  <c r="Q44" i="2"/>
  <c r="V44" i="2" s="1"/>
  <c r="Q44" i="8"/>
  <c r="U34" i="11"/>
  <c r="J138" i="8"/>
  <c r="J140" i="8" s="1"/>
  <c r="R148" i="8" s="1"/>
  <c r="R12" i="7" s="1"/>
  <c r="Z2" i="1"/>
  <c r="Y2" i="11"/>
  <c r="Y146" i="11" s="1"/>
  <c r="Y2" i="10"/>
  <c r="Y146" i="10" s="1"/>
  <c r="Y2" i="9"/>
  <c r="Y146" i="9" s="1"/>
  <c r="Y2" i="8"/>
  <c r="Y146" i="8" s="1"/>
  <c r="Y2" i="2"/>
  <c r="Y146" i="2" s="1"/>
  <c r="Y2" i="7"/>
  <c r="Y8" i="7" s="1"/>
  <c r="J138" i="11"/>
  <c r="J140" i="11" s="1"/>
  <c r="V148" i="11" s="1"/>
  <c r="V18" i="7" s="1"/>
  <c r="J138" i="10"/>
  <c r="J140" i="10" s="1"/>
  <c r="S148" i="10" s="1"/>
  <c r="S16" i="7" s="1"/>
  <c r="U44" i="2"/>
  <c r="V34" i="8"/>
  <c r="V44" i="10"/>
  <c r="V34" i="9"/>
  <c r="J138" i="9"/>
  <c r="J140" i="9" s="1"/>
  <c r="Z148" i="9" s="1"/>
  <c r="Z14" i="7" s="1"/>
  <c r="U34" i="2"/>
  <c r="V34" i="10"/>
  <c r="U148" i="9"/>
  <c r="U14" i="7" s="1"/>
  <c r="R51" i="11"/>
  <c r="V20" i="11"/>
  <c r="U20" i="11"/>
  <c r="R50" i="10"/>
  <c r="V30" i="10"/>
  <c r="U30" i="10"/>
  <c r="S50" i="11"/>
  <c r="V31" i="11"/>
  <c r="U31" i="11"/>
  <c r="U20" i="10"/>
  <c r="V20" i="10"/>
  <c r="R51" i="10"/>
  <c r="V20" i="8"/>
  <c r="U20" i="8"/>
  <c r="R51" i="8"/>
  <c r="S50" i="9"/>
  <c r="V31" i="9"/>
  <c r="U31" i="9"/>
  <c r="R50" i="11"/>
  <c r="U30" i="11"/>
  <c r="V30" i="11"/>
  <c r="U30" i="8"/>
  <c r="R50" i="8"/>
  <c r="V30" i="8"/>
  <c r="V31" i="8"/>
  <c r="S50" i="8"/>
  <c r="U31" i="8"/>
  <c r="R50" i="9"/>
  <c r="V30" i="9"/>
  <c r="U30" i="9"/>
  <c r="R51" i="9"/>
  <c r="V20" i="9"/>
  <c r="U20" i="9"/>
  <c r="S50" i="10"/>
  <c r="V31" i="10"/>
  <c r="U31" i="10"/>
  <c r="Q19" i="11"/>
  <c r="Q19" i="9"/>
  <c r="Q19" i="10"/>
  <c r="Q19" i="8"/>
  <c r="Q39" i="2"/>
  <c r="Q49" i="2" s="1"/>
  <c r="Q39" i="9"/>
  <c r="Q39" i="10"/>
  <c r="Q39" i="11"/>
  <c r="Q39" i="8"/>
  <c r="Q29" i="10"/>
  <c r="Q29" i="8"/>
  <c r="Q29" i="9"/>
  <c r="Q29" i="11"/>
  <c r="S51" i="9"/>
  <c r="V21" i="9"/>
  <c r="U21" i="9"/>
  <c r="U21" i="10"/>
  <c r="V21" i="10"/>
  <c r="S51" i="10"/>
  <c r="S51" i="11"/>
  <c r="V21" i="11"/>
  <c r="U21" i="11"/>
  <c r="S51" i="8"/>
  <c r="U21" i="8"/>
  <c r="V21" i="8"/>
  <c r="U30" i="2"/>
  <c r="R50" i="2"/>
  <c r="V30" i="2"/>
  <c r="Q29" i="2"/>
  <c r="S51" i="2"/>
  <c r="V21" i="2"/>
  <c r="U21" i="2"/>
  <c r="S50" i="2"/>
  <c r="U31" i="2"/>
  <c r="V31" i="2"/>
  <c r="U20" i="2"/>
  <c r="V20" i="2"/>
  <c r="R51" i="2"/>
  <c r="Q19" i="2"/>
  <c r="J138" i="2"/>
  <c r="J140" i="2" s="1"/>
  <c r="Z148" i="8" l="1"/>
  <c r="Z12" i="7" s="1"/>
  <c r="P148" i="8"/>
  <c r="P12" i="7" s="1"/>
  <c r="V148" i="8"/>
  <c r="V12" i="7" s="1"/>
  <c r="V44" i="9"/>
  <c r="W148" i="9"/>
  <c r="W14" i="7" s="1"/>
  <c r="W148" i="8"/>
  <c r="W12" i="7" s="1"/>
  <c r="U44" i="8"/>
  <c r="V44" i="8"/>
  <c r="T148" i="9"/>
  <c r="T14" i="7" s="1"/>
  <c r="W148" i="11"/>
  <c r="W18" i="7" s="1"/>
  <c r="R148" i="11"/>
  <c r="R18" i="7" s="1"/>
  <c r="U148" i="11"/>
  <c r="U18" i="7" s="1"/>
  <c r="O148" i="11"/>
  <c r="O18" i="7" s="1"/>
  <c r="Z148" i="11"/>
  <c r="Z18" i="7" s="1"/>
  <c r="S148" i="11"/>
  <c r="S18" i="7" s="1"/>
  <c r="W148" i="10"/>
  <c r="W16" i="7" s="1"/>
  <c r="U148" i="10"/>
  <c r="U16" i="7" s="1"/>
  <c r="Y148" i="10"/>
  <c r="Y16" i="7" s="1"/>
  <c r="S148" i="9"/>
  <c r="S14" i="7" s="1"/>
  <c r="Q148" i="9"/>
  <c r="Q14" i="7" s="1"/>
  <c r="R148" i="9"/>
  <c r="R14" i="7" s="1"/>
  <c r="X148" i="8"/>
  <c r="X12" i="7" s="1"/>
  <c r="O148" i="8"/>
  <c r="O12" i="7" s="1"/>
  <c r="Z148" i="10"/>
  <c r="Z16" i="7" s="1"/>
  <c r="Q148" i="10"/>
  <c r="Q16" i="7" s="1"/>
  <c r="X148" i="11"/>
  <c r="X18" i="7" s="1"/>
  <c r="Y148" i="11"/>
  <c r="Y18" i="7" s="1"/>
  <c r="P148" i="11"/>
  <c r="P18" i="7" s="1"/>
  <c r="V148" i="10"/>
  <c r="V16" i="7" s="1"/>
  <c r="O148" i="10"/>
  <c r="O16" i="7" s="1"/>
  <c r="X148" i="10"/>
  <c r="X16" i="7" s="1"/>
  <c r="V148" i="9"/>
  <c r="V14" i="7" s="1"/>
  <c r="X148" i="9"/>
  <c r="X14" i="7" s="1"/>
  <c r="Y148" i="9"/>
  <c r="Y14" i="7" s="1"/>
  <c r="Q148" i="8"/>
  <c r="Q12" i="7" s="1"/>
  <c r="U148" i="8"/>
  <c r="U12" i="7" s="1"/>
  <c r="Y148" i="8"/>
  <c r="Y12" i="7" s="1"/>
  <c r="Q148" i="11"/>
  <c r="Q18" i="7" s="1"/>
  <c r="T148" i="11"/>
  <c r="T18" i="7" s="1"/>
  <c r="P148" i="10"/>
  <c r="P16" i="7" s="1"/>
  <c r="T148" i="10"/>
  <c r="T16" i="7" s="1"/>
  <c r="R148" i="10"/>
  <c r="R16" i="7" s="1"/>
  <c r="P148" i="9"/>
  <c r="P14" i="7" s="1"/>
  <c r="O148" i="9"/>
  <c r="O14" i="7" s="1"/>
  <c r="S148" i="8"/>
  <c r="S12" i="7" s="1"/>
  <c r="T148" i="8"/>
  <c r="T12" i="7" s="1"/>
  <c r="Z2" i="11"/>
  <c r="Z146" i="11" s="1"/>
  <c r="Z2" i="10"/>
  <c r="Z146" i="10" s="1"/>
  <c r="Z2" i="9"/>
  <c r="Z146" i="9" s="1"/>
  <c r="Z2" i="8"/>
  <c r="Z146" i="8" s="1"/>
  <c r="Z2" i="7"/>
  <c r="Z8" i="7" s="1"/>
  <c r="Z2" i="2"/>
  <c r="Z146" i="2" s="1"/>
  <c r="U39" i="2"/>
  <c r="U49" i="2" s="1"/>
  <c r="T49" i="2" s="1"/>
  <c r="V39" i="2"/>
  <c r="V49" i="2" s="1"/>
  <c r="Z124" i="2" s="1"/>
  <c r="V19" i="8"/>
  <c r="V51" i="8" s="1"/>
  <c r="R126" i="8" s="1"/>
  <c r="U19" i="8"/>
  <c r="U51" i="8" s="1"/>
  <c r="Q51" i="8"/>
  <c r="Q51" i="9"/>
  <c r="V19" i="9"/>
  <c r="V51" i="9" s="1"/>
  <c r="U19" i="9"/>
  <c r="U51" i="9" s="1"/>
  <c r="Q51" i="10"/>
  <c r="U19" i="10"/>
  <c r="U51" i="10" s="1"/>
  <c r="V19" i="10"/>
  <c r="V51" i="10" s="1"/>
  <c r="Q51" i="11"/>
  <c r="V19" i="11"/>
  <c r="V51" i="11" s="1"/>
  <c r="U19" i="11"/>
  <c r="U51" i="11" s="1"/>
  <c r="Q50" i="9"/>
  <c r="V29" i="9"/>
  <c r="V50" i="9" s="1"/>
  <c r="U29" i="9"/>
  <c r="U50" i="9" s="1"/>
  <c r="Q49" i="11"/>
  <c r="U39" i="11"/>
  <c r="U49" i="11" s="1"/>
  <c r="V39" i="11"/>
  <c r="V49" i="11" s="1"/>
  <c r="Q50" i="8"/>
  <c r="U29" i="8"/>
  <c r="U50" i="8" s="1"/>
  <c r="V29" i="8"/>
  <c r="V50" i="8" s="1"/>
  <c r="Q49" i="10"/>
  <c r="U39" i="10"/>
  <c r="U49" i="10" s="1"/>
  <c r="V39" i="10"/>
  <c r="V49" i="10" s="1"/>
  <c r="Q50" i="10"/>
  <c r="V29" i="10"/>
  <c r="V50" i="10" s="1"/>
  <c r="U29" i="10"/>
  <c r="U50" i="10" s="1"/>
  <c r="Q49" i="9"/>
  <c r="V39" i="9"/>
  <c r="V49" i="9" s="1"/>
  <c r="U39" i="9"/>
  <c r="U49" i="9" s="1"/>
  <c r="Q50" i="11"/>
  <c r="U29" i="11"/>
  <c r="U50" i="11" s="1"/>
  <c r="V29" i="11"/>
  <c r="V50" i="11" s="1"/>
  <c r="Q49" i="8"/>
  <c r="V39" i="8"/>
  <c r="V49" i="8" s="1"/>
  <c r="U39" i="8"/>
  <c r="X148" i="2"/>
  <c r="X10" i="7" s="1"/>
  <c r="W148" i="2"/>
  <c r="W10" i="7" s="1"/>
  <c r="V148" i="2"/>
  <c r="V10" i="7" s="1"/>
  <c r="P148" i="2"/>
  <c r="P10" i="7" s="1"/>
  <c r="S148" i="2"/>
  <c r="S10" i="7" s="1"/>
  <c r="Y148" i="2"/>
  <c r="Y10" i="7" s="1"/>
  <c r="Q148" i="2"/>
  <c r="Q10" i="7" s="1"/>
  <c r="Z148" i="2"/>
  <c r="Z10" i="7" s="1"/>
  <c r="T148" i="2"/>
  <c r="T10" i="7" s="1"/>
  <c r="R148" i="2"/>
  <c r="R10" i="7" s="1"/>
  <c r="U148" i="2"/>
  <c r="U10" i="7" s="1"/>
  <c r="O148" i="2"/>
  <c r="O10" i="7" s="1"/>
  <c r="V19" i="2"/>
  <c r="V51" i="2" s="1"/>
  <c r="U19" i="2"/>
  <c r="U51" i="2" s="1"/>
  <c r="Q51" i="2"/>
  <c r="U29" i="2"/>
  <c r="U50" i="2" s="1"/>
  <c r="Q50" i="2"/>
  <c r="V29" i="2"/>
  <c r="V50" i="2" s="1"/>
  <c r="U49" i="8" l="1"/>
  <c r="T51" i="10"/>
  <c r="T51" i="11"/>
  <c r="T51" i="9"/>
  <c r="U126" i="8"/>
  <c r="U124" i="2"/>
  <c r="T124" i="2"/>
  <c r="S124" i="2"/>
  <c r="X124" i="2"/>
  <c r="W124" i="2"/>
  <c r="Q124" i="2"/>
  <c r="O124" i="2"/>
  <c r="Y124" i="2"/>
  <c r="V124" i="2"/>
  <c r="R124" i="2"/>
  <c r="P124" i="2"/>
  <c r="V52" i="8"/>
  <c r="T49" i="9"/>
  <c r="T49" i="11"/>
  <c r="T50" i="10"/>
  <c r="T50" i="9"/>
  <c r="S126" i="11"/>
  <c r="Y126" i="11"/>
  <c r="P126" i="11"/>
  <c r="Q126" i="11"/>
  <c r="U126" i="11"/>
  <c r="X126" i="11"/>
  <c r="Z126" i="11"/>
  <c r="O126" i="11"/>
  <c r="W126" i="11"/>
  <c r="V126" i="11"/>
  <c r="T126" i="11"/>
  <c r="R126" i="11"/>
  <c r="T126" i="8"/>
  <c r="V52" i="9"/>
  <c r="T51" i="8"/>
  <c r="Q126" i="8"/>
  <c r="V126" i="8"/>
  <c r="S126" i="8"/>
  <c r="O126" i="8"/>
  <c r="Z126" i="8"/>
  <c r="P126" i="8"/>
  <c r="X126" i="8"/>
  <c r="Y126" i="8"/>
  <c r="W126" i="8"/>
  <c r="R126" i="10"/>
  <c r="Q126" i="10"/>
  <c r="T126" i="10"/>
  <c r="V126" i="10"/>
  <c r="S126" i="10"/>
  <c r="Z126" i="10"/>
  <c r="P126" i="10"/>
  <c r="X126" i="10"/>
  <c r="Y126" i="10"/>
  <c r="U126" i="10"/>
  <c r="O126" i="10"/>
  <c r="W126" i="10"/>
  <c r="Y126" i="9"/>
  <c r="T126" i="9"/>
  <c r="P126" i="9"/>
  <c r="Q126" i="9"/>
  <c r="W126" i="9"/>
  <c r="Z126" i="9"/>
  <c r="O126" i="9"/>
  <c r="U126" i="9"/>
  <c r="X126" i="9"/>
  <c r="S126" i="9"/>
  <c r="R126" i="9"/>
  <c r="V126" i="9"/>
  <c r="U52" i="8"/>
  <c r="U52" i="11"/>
  <c r="T49" i="10"/>
  <c r="V52" i="10"/>
  <c r="V52" i="11"/>
  <c r="U52" i="10"/>
  <c r="U52" i="9"/>
  <c r="T49" i="8"/>
  <c r="T50" i="11"/>
  <c r="T124" i="10"/>
  <c r="P124" i="10"/>
  <c r="S124" i="10"/>
  <c r="W124" i="10"/>
  <c r="Y124" i="10"/>
  <c r="X124" i="10"/>
  <c r="O124" i="10"/>
  <c r="Q124" i="10"/>
  <c r="U124" i="10"/>
  <c r="R124" i="10"/>
  <c r="V124" i="10"/>
  <c r="Z124" i="10"/>
  <c r="T50" i="8"/>
  <c r="U124" i="8"/>
  <c r="O124" i="8"/>
  <c r="S124" i="8"/>
  <c r="V124" i="8"/>
  <c r="X124" i="8"/>
  <c r="Z124" i="8"/>
  <c r="T124" i="8"/>
  <c r="W124" i="8"/>
  <c r="P124" i="8"/>
  <c r="Y124" i="8"/>
  <c r="R124" i="8"/>
  <c r="Q124" i="8"/>
  <c r="Q125" i="10"/>
  <c r="O125" i="10"/>
  <c r="U125" i="10"/>
  <c r="S125" i="10"/>
  <c r="Y125" i="10"/>
  <c r="P125" i="10"/>
  <c r="W125" i="10"/>
  <c r="R125" i="10"/>
  <c r="T125" i="10"/>
  <c r="V125" i="10"/>
  <c r="X125" i="10"/>
  <c r="Z125" i="10"/>
  <c r="T124" i="11"/>
  <c r="Z124" i="11"/>
  <c r="Q124" i="11"/>
  <c r="X124" i="11"/>
  <c r="O124" i="11"/>
  <c r="U124" i="11"/>
  <c r="S124" i="11"/>
  <c r="Y124" i="11"/>
  <c r="W124" i="11"/>
  <c r="R124" i="11"/>
  <c r="P124" i="11"/>
  <c r="V124" i="11"/>
  <c r="U125" i="9"/>
  <c r="Q125" i="9"/>
  <c r="O125" i="9"/>
  <c r="P125" i="9"/>
  <c r="S125" i="9"/>
  <c r="Y125" i="9"/>
  <c r="W125" i="9"/>
  <c r="R125" i="9"/>
  <c r="T125" i="9"/>
  <c r="Z125" i="9"/>
  <c r="V125" i="9"/>
  <c r="X125" i="9"/>
  <c r="O125" i="11"/>
  <c r="U125" i="11"/>
  <c r="U128" i="11" s="1"/>
  <c r="U147" i="11" s="1"/>
  <c r="P125" i="11"/>
  <c r="Z125" i="11"/>
  <c r="Y125" i="11"/>
  <c r="X125" i="11"/>
  <c r="Q125" i="11"/>
  <c r="R125" i="11"/>
  <c r="V125" i="11"/>
  <c r="S125" i="11"/>
  <c r="W125" i="11"/>
  <c r="T125" i="11"/>
  <c r="V124" i="9"/>
  <c r="Q124" i="9"/>
  <c r="Y124" i="9"/>
  <c r="T124" i="9"/>
  <c r="X124" i="9"/>
  <c r="Z124" i="9"/>
  <c r="W124" i="9"/>
  <c r="W128" i="9" s="1"/>
  <c r="W147" i="9" s="1"/>
  <c r="O124" i="9"/>
  <c r="P124" i="9"/>
  <c r="S124" i="9"/>
  <c r="U124" i="9"/>
  <c r="R124" i="9"/>
  <c r="S125" i="8"/>
  <c r="Z125" i="8"/>
  <c r="O125" i="8"/>
  <c r="X125" i="8"/>
  <c r="Q125" i="8"/>
  <c r="P125" i="8"/>
  <c r="T125" i="8"/>
  <c r="R125" i="8"/>
  <c r="V125" i="8"/>
  <c r="U125" i="8"/>
  <c r="Y125" i="8"/>
  <c r="W125" i="8"/>
  <c r="Y125" i="2"/>
  <c r="P125" i="2"/>
  <c r="S125" i="2"/>
  <c r="R125" i="2"/>
  <c r="Q125" i="2"/>
  <c r="T125" i="2"/>
  <c r="W125" i="2"/>
  <c r="U125" i="2"/>
  <c r="Z125" i="2"/>
  <c r="V125" i="2"/>
  <c r="X125" i="2"/>
  <c r="O125" i="2"/>
  <c r="T50" i="2"/>
  <c r="T51" i="2"/>
  <c r="U52" i="2"/>
  <c r="V52" i="2"/>
  <c r="S126" i="2"/>
  <c r="W126" i="2"/>
  <c r="T126" i="2"/>
  <c r="Y126" i="2"/>
  <c r="P126" i="2"/>
  <c r="X126" i="2"/>
  <c r="O126" i="2"/>
  <c r="V126" i="2"/>
  <c r="Z126" i="2"/>
  <c r="Z128" i="2" s="1"/>
  <c r="Z147" i="2" s="1"/>
  <c r="Q126" i="2"/>
  <c r="U126" i="2"/>
  <c r="R126" i="2"/>
  <c r="R128" i="8" l="1"/>
  <c r="R147" i="8" s="1"/>
  <c r="R11" i="7" s="1"/>
  <c r="R128" i="2"/>
  <c r="R147" i="2" s="1"/>
  <c r="R9" i="7" s="1"/>
  <c r="R128" i="9"/>
  <c r="R147" i="9" s="1"/>
  <c r="R13" i="7" s="1"/>
  <c r="O128" i="9"/>
  <c r="O147" i="9" s="1"/>
  <c r="O149" i="9" s="1"/>
  <c r="T128" i="9"/>
  <c r="T147" i="9" s="1"/>
  <c r="T149" i="9" s="1"/>
  <c r="S128" i="10"/>
  <c r="S147" i="10" s="1"/>
  <c r="S149" i="10" s="1"/>
  <c r="U128" i="9"/>
  <c r="U147" i="9" s="1"/>
  <c r="U13" i="7" s="1"/>
  <c r="X128" i="8"/>
  <c r="X147" i="8" s="1"/>
  <c r="X11" i="7" s="1"/>
  <c r="T128" i="11"/>
  <c r="T147" i="11" s="1"/>
  <c r="T149" i="11" s="1"/>
  <c r="R128" i="10"/>
  <c r="R147" i="10" s="1"/>
  <c r="R15" i="7" s="1"/>
  <c r="P128" i="9"/>
  <c r="P147" i="9" s="1"/>
  <c r="P13" i="7" s="1"/>
  <c r="X128" i="9"/>
  <c r="X147" i="9" s="1"/>
  <c r="X149" i="9" s="1"/>
  <c r="V128" i="11"/>
  <c r="V147" i="11" s="1"/>
  <c r="V17" i="7" s="1"/>
  <c r="O128" i="11"/>
  <c r="O147" i="11" s="1"/>
  <c r="O149" i="11" s="1"/>
  <c r="Y128" i="11"/>
  <c r="Y147" i="11" s="1"/>
  <c r="Y149" i="11" s="1"/>
  <c r="U17" i="7"/>
  <c r="U149" i="11"/>
  <c r="P128" i="10"/>
  <c r="P147" i="10" s="1"/>
  <c r="P15" i="7" s="1"/>
  <c r="O128" i="10"/>
  <c r="O147" i="10" s="1"/>
  <c r="O149" i="10" s="1"/>
  <c r="Y128" i="9"/>
  <c r="Y147" i="9" s="1"/>
  <c r="Y13" i="7" s="1"/>
  <c r="S128" i="9"/>
  <c r="S147" i="9" s="1"/>
  <c r="S149" i="9" s="1"/>
  <c r="Z128" i="9"/>
  <c r="Z147" i="9" s="1"/>
  <c r="Z149" i="9" s="1"/>
  <c r="Q128" i="9"/>
  <c r="Q147" i="9" s="1"/>
  <c r="Q149" i="9" s="1"/>
  <c r="V128" i="8"/>
  <c r="V147" i="8" s="1"/>
  <c r="V11" i="7" s="1"/>
  <c r="W128" i="8"/>
  <c r="W147" i="8" s="1"/>
  <c r="W11" i="7" s="1"/>
  <c r="Y128" i="8"/>
  <c r="Y147" i="8" s="1"/>
  <c r="Y11" i="7" s="1"/>
  <c r="V128" i="9"/>
  <c r="V147" i="9" s="1"/>
  <c r="V149" i="9" s="1"/>
  <c r="P128" i="11"/>
  <c r="P147" i="11" s="1"/>
  <c r="P17" i="7" s="1"/>
  <c r="S128" i="11"/>
  <c r="S147" i="11" s="1"/>
  <c r="S149" i="11" s="1"/>
  <c r="Q128" i="11"/>
  <c r="Q147" i="11" s="1"/>
  <c r="Q149" i="11" s="1"/>
  <c r="X128" i="10"/>
  <c r="X147" i="10" s="1"/>
  <c r="X149" i="10" s="1"/>
  <c r="Q128" i="8"/>
  <c r="Q147" i="8" s="1"/>
  <c r="Q149" i="8" s="1"/>
  <c r="U128" i="10"/>
  <c r="U147" i="10" s="1"/>
  <c r="U149" i="10" s="1"/>
  <c r="Y128" i="10"/>
  <c r="Y147" i="10" s="1"/>
  <c r="Y15" i="7" s="1"/>
  <c r="T128" i="10"/>
  <c r="T147" i="10" s="1"/>
  <c r="T149" i="10" s="1"/>
  <c r="U128" i="8"/>
  <c r="U147" i="8" s="1"/>
  <c r="U149" i="8" s="1"/>
  <c r="P128" i="8"/>
  <c r="P147" i="8" s="1"/>
  <c r="P11" i="7" s="1"/>
  <c r="X128" i="11"/>
  <c r="X147" i="11" s="1"/>
  <c r="X149" i="11" s="1"/>
  <c r="R128" i="11"/>
  <c r="R147" i="11" s="1"/>
  <c r="R17" i="7" s="1"/>
  <c r="Z128" i="11"/>
  <c r="Z147" i="11" s="1"/>
  <c r="Z17" i="7" s="1"/>
  <c r="T128" i="8"/>
  <c r="T147" i="8" s="1"/>
  <c r="T149" i="8" s="1"/>
  <c r="S128" i="8"/>
  <c r="S147" i="8" s="1"/>
  <c r="S149" i="8" s="1"/>
  <c r="Z128" i="10"/>
  <c r="Z147" i="10" s="1"/>
  <c r="Z149" i="10" s="1"/>
  <c r="Q128" i="10"/>
  <c r="Q147" i="10" s="1"/>
  <c r="Q15" i="7" s="1"/>
  <c r="W128" i="10"/>
  <c r="W147" i="10" s="1"/>
  <c r="W15" i="7" s="1"/>
  <c r="W128" i="11"/>
  <c r="W147" i="11" s="1"/>
  <c r="W17" i="7" s="1"/>
  <c r="Z128" i="8"/>
  <c r="Z147" i="8" s="1"/>
  <c r="Z11" i="7" s="1"/>
  <c r="O128" i="8"/>
  <c r="O147" i="8" s="1"/>
  <c r="O11" i="7" s="1"/>
  <c r="V128" i="10"/>
  <c r="V147" i="10" s="1"/>
  <c r="V149" i="10" s="1"/>
  <c r="W13" i="7"/>
  <c r="W149" i="9"/>
  <c r="T128" i="2"/>
  <c r="T147" i="2" s="1"/>
  <c r="T149" i="2" s="1"/>
  <c r="S128" i="2"/>
  <c r="S147" i="2" s="1"/>
  <c r="S9" i="7" s="1"/>
  <c r="P128" i="2"/>
  <c r="P147" i="2" s="1"/>
  <c r="P149" i="2" s="1"/>
  <c r="U128" i="2"/>
  <c r="U147" i="2" s="1"/>
  <c r="U9" i="7" s="1"/>
  <c r="O128" i="2"/>
  <c r="O147" i="2" s="1"/>
  <c r="O149" i="2" s="1"/>
  <c r="X128" i="2"/>
  <c r="X147" i="2" s="1"/>
  <c r="X149" i="2" s="1"/>
  <c r="Q128" i="2"/>
  <c r="Q147" i="2" s="1"/>
  <c r="Q9" i="7" s="1"/>
  <c r="Y128" i="2"/>
  <c r="Y147" i="2" s="1"/>
  <c r="Y149" i="2" s="1"/>
  <c r="V128" i="2"/>
  <c r="V147" i="2" s="1"/>
  <c r="V9" i="7" s="1"/>
  <c r="W128" i="2"/>
  <c r="W147" i="2" s="1"/>
  <c r="W149" i="2" s="1"/>
  <c r="Z149" i="2"/>
  <c r="Z9" i="7"/>
  <c r="R149" i="2" l="1"/>
  <c r="R149" i="9"/>
  <c r="P149" i="9"/>
  <c r="R149" i="10"/>
  <c r="P149" i="11"/>
  <c r="U149" i="9"/>
  <c r="Y17" i="7"/>
  <c r="S15" i="7"/>
  <c r="Y149" i="9"/>
  <c r="O13" i="7"/>
  <c r="Y149" i="8"/>
  <c r="R149" i="8"/>
  <c r="X149" i="8"/>
  <c r="T17" i="7"/>
  <c r="O149" i="8"/>
  <c r="V149" i="8"/>
  <c r="Z149" i="8"/>
  <c r="V149" i="11"/>
  <c r="T13" i="7"/>
  <c r="T15" i="7"/>
  <c r="Z15" i="7"/>
  <c r="Q149" i="10"/>
  <c r="X13" i="7"/>
  <c r="S11" i="7"/>
  <c r="R149" i="11"/>
  <c r="Q17" i="7"/>
  <c r="S17" i="7"/>
  <c r="W149" i="11"/>
  <c r="X17" i="7"/>
  <c r="O17" i="7"/>
  <c r="Z149" i="11"/>
  <c r="O15" i="7"/>
  <c r="P149" i="10"/>
  <c r="Y149" i="10"/>
  <c r="U15" i="7"/>
  <c r="V15" i="7"/>
  <c r="X15" i="7"/>
  <c r="W149" i="10"/>
  <c r="V13" i="7"/>
  <c r="S13" i="7"/>
  <c r="Z13" i="7"/>
  <c r="Q13" i="7"/>
  <c r="W149" i="8"/>
  <c r="U11" i="7"/>
  <c r="P149" i="8"/>
  <c r="Q11" i="7"/>
  <c r="T11" i="7"/>
  <c r="T9" i="7"/>
  <c r="P9" i="7"/>
  <c r="U149" i="2"/>
  <c r="O9" i="7"/>
  <c r="S149" i="2"/>
  <c r="Y9" i="7"/>
  <c r="V149" i="2"/>
  <c r="Q149" i="2"/>
  <c r="X9" i="7"/>
  <c r="W9" i="7"/>
</calcChain>
</file>

<file path=xl/sharedStrings.xml><?xml version="1.0" encoding="utf-8"?>
<sst xmlns="http://schemas.openxmlformats.org/spreadsheetml/2006/main" count="675" uniqueCount="200">
  <si>
    <t>General inputs, timing and costs</t>
  </si>
  <si>
    <t>General inputs</t>
  </si>
  <si>
    <t>Company</t>
  </si>
  <si>
    <t>Title</t>
  </si>
  <si>
    <t>Model start &amp; timeline</t>
  </si>
  <si>
    <t>Real WACC</t>
  </si>
  <si>
    <t>Asset Life (years)</t>
  </si>
  <si>
    <t>Inflation</t>
  </si>
  <si>
    <t>Year</t>
  </si>
  <si>
    <t>Nominal escalation index to June $2021</t>
  </si>
  <si>
    <t>Capex</t>
  </si>
  <si>
    <t>Capex ($2021)</t>
  </si>
  <si>
    <t>Opex</t>
  </si>
  <si>
    <t>Pre-replacement</t>
  </si>
  <si>
    <t>Post-replacement</t>
  </si>
  <si>
    <t>Opex ($2021)</t>
  </si>
  <si>
    <t>Scenario manager</t>
  </si>
  <si>
    <t>Sensitivity bounds</t>
  </si>
  <si>
    <t>Bound</t>
  </si>
  <si>
    <t>Lower</t>
  </si>
  <si>
    <t>Central</t>
  </si>
  <si>
    <t>Upper</t>
  </si>
  <si>
    <t>PoF</t>
  </si>
  <si>
    <t>Demand</t>
  </si>
  <si>
    <t>VCR</t>
  </si>
  <si>
    <t>Environment</t>
  </si>
  <si>
    <t>Scenario selection</t>
  </si>
  <si>
    <t>Element</t>
  </si>
  <si>
    <t>Base case</t>
  </si>
  <si>
    <t>A</t>
  </si>
  <si>
    <t>B</t>
  </si>
  <si>
    <t>C</t>
  </si>
  <si>
    <t>D</t>
  </si>
  <si>
    <t>Scenario output</t>
  </si>
  <si>
    <t>Network assumptions</t>
  </si>
  <si>
    <t>Probability of failure (PoF)</t>
  </si>
  <si>
    <t>Failure mode</t>
  </si>
  <si>
    <t>Failure code</t>
  </si>
  <si>
    <t>Significant</t>
  </si>
  <si>
    <t>Major</t>
  </si>
  <si>
    <t>Catastrophic</t>
  </si>
  <si>
    <t>Value of customer reliability (VCR)</t>
  </si>
  <si>
    <t>Sector</t>
  </si>
  <si>
    <t>MWh</t>
  </si>
  <si>
    <t>$/MWh ($2018)</t>
  </si>
  <si>
    <t>Load Duration</t>
  </si>
  <si>
    <t>Duration Weighted $/MWh ($2021)</t>
  </si>
  <si>
    <t xml:space="preserve">Residential </t>
  </si>
  <si>
    <t>Agricultural</t>
  </si>
  <si>
    <t>Commercial</t>
  </si>
  <si>
    <t>Industrial</t>
  </si>
  <si>
    <t>Total</t>
  </si>
  <si>
    <t>Asset information</t>
  </si>
  <si>
    <t>Assets at risk</t>
  </si>
  <si>
    <t>N-rating, MVA</t>
  </si>
  <si>
    <t>N-1 Rating before transfers, MVA</t>
  </si>
  <si>
    <t>N-2 Rating before transfers, MVA</t>
  </si>
  <si>
    <t>N-3 Rating before transfers, MVA</t>
  </si>
  <si>
    <t>N-4 Rating before transfers, MVA</t>
  </si>
  <si>
    <t>Transfer capacity, MVA</t>
  </si>
  <si>
    <t>Environmental assumptions</t>
  </si>
  <si>
    <t>Environmental consequence</t>
  </si>
  <si>
    <t>Settings</t>
  </si>
  <si>
    <t>Real $2019</t>
  </si>
  <si>
    <t>Real $2021</t>
  </si>
  <si>
    <t>Value Consequence Loss Oil / litre</t>
  </si>
  <si>
    <t>Value Consequence Loss SF6/Kg</t>
  </si>
  <si>
    <t>Value Consequence Fire</t>
  </si>
  <si>
    <t>Value Consequence Waste / tonne</t>
  </si>
  <si>
    <t>Value Consequence Disturbance</t>
  </si>
  <si>
    <t>Value Fire brigade attendance</t>
  </si>
  <si>
    <t>Failure Mode</t>
  </si>
  <si>
    <t>Average Consequence Loss Oil</t>
  </si>
  <si>
    <t>Average Consequences Loss SF6 kgs</t>
  </si>
  <si>
    <t>Average Consequence Fire</t>
  </si>
  <si>
    <t>Average Consequence Waste</t>
  </si>
  <si>
    <t>Average Consequence Disturbance</t>
  </si>
  <si>
    <t>Average Cost of Fault (Air Insulated)</t>
  </si>
  <si>
    <t>Average Cost of Fault (SF6 Insulated)</t>
  </si>
  <si>
    <t>Average Cost of Fault (Oil Insulated)</t>
  </si>
  <si>
    <t>Generation assumptions</t>
  </si>
  <si>
    <t>Generation requirements</t>
  </si>
  <si>
    <t>Generator detail</t>
  </si>
  <si>
    <t>Generator capacity, MVA</t>
  </si>
  <si>
    <t>Generators per site</t>
  </si>
  <si>
    <t>Step-up transformer capacity</t>
  </si>
  <si>
    <t>Number of transformers required per site</t>
  </si>
  <si>
    <t>Generator sites connected per day</t>
  </si>
  <si>
    <t>Fuel usage / MWh in Litres</t>
  </si>
  <si>
    <t>Days in week</t>
  </si>
  <si>
    <t>Setup, persons required</t>
  </si>
  <si>
    <t>Setup, hours employed per day</t>
  </si>
  <si>
    <t>Hours per day</t>
  </si>
  <si>
    <t>Generator detail by failure mode</t>
  </si>
  <si>
    <t>Switching time only (hours required)</t>
  </si>
  <si>
    <t>Number of weeks generation required</t>
  </si>
  <si>
    <t>Max demand load net of transfers, MVA</t>
  </si>
  <si>
    <t>Number of generators</t>
  </si>
  <si>
    <t>Generator sites</t>
  </si>
  <si>
    <t>Number of days to connect all generators</t>
  </si>
  <si>
    <t>Generation costs</t>
  </si>
  <si>
    <t>Generator hire per week</t>
  </si>
  <si>
    <t>Fuel cost $ per litre including delivery</t>
  </si>
  <si>
    <t>Fitter cost (blended 24hr rate) $ per hr</t>
  </si>
  <si>
    <t>Traffic management and security per site</t>
  </si>
  <si>
    <t>Transformer hire per week</t>
  </si>
  <si>
    <t>Earthing and bunding per site</t>
  </si>
  <si>
    <t>Temporary fencing per site per week</t>
  </si>
  <si>
    <t>Miscellaneous material per site</t>
  </si>
  <si>
    <t>Install and remove step down transformers per site</t>
  </si>
  <si>
    <t>Council permits per site</t>
  </si>
  <si>
    <t>Crane hire to install / remove generators per site</t>
  </si>
  <si>
    <t>Cable hire per site</t>
  </si>
  <si>
    <t>Generation costs by failure mode</t>
  </si>
  <si>
    <t>Generator hire</t>
  </si>
  <si>
    <t>Fuel cost</t>
  </si>
  <si>
    <t>Fitter cost</t>
  </si>
  <si>
    <t>Traffic management cost</t>
  </si>
  <si>
    <t>Transformer hire</t>
  </si>
  <si>
    <t>Earthing and bunding</t>
  </si>
  <si>
    <t>Temporary fencing</t>
  </si>
  <si>
    <t>Miscellaneous materials</t>
  </si>
  <si>
    <t>Installation &amp; removal of step-down transformers</t>
  </si>
  <si>
    <t>Council permits</t>
  </si>
  <si>
    <t>Crane hire</t>
  </si>
  <si>
    <t>Cable hire</t>
  </si>
  <si>
    <t>Safety assumptions</t>
  </si>
  <si>
    <t>Safety consequence</t>
  </si>
  <si>
    <t>Value of consquence</t>
  </si>
  <si>
    <t>Base Value ($2018)</t>
  </si>
  <si>
    <t>Disproportion Factor</t>
  </si>
  <si>
    <t>Reference Value ($2021)</t>
  </si>
  <si>
    <t>Minor</t>
  </si>
  <si>
    <t>Serious</t>
  </si>
  <si>
    <t>Fataility</t>
  </si>
  <si>
    <t>Probability of event, by failure mode</t>
  </si>
  <si>
    <t>Value of event</t>
  </si>
  <si>
    <t>Weighted likelyhood of consequence</t>
  </si>
  <si>
    <t>Base Case PoE, Load and VCR assumptions</t>
  </si>
  <si>
    <t>Probability of exceedance (PoE) forecast, Mega Volt Ampere (MVA)</t>
  </si>
  <si>
    <t>PoE forecast</t>
  </si>
  <si>
    <t>Load at risk</t>
  </si>
  <si>
    <t>N</t>
  </si>
  <si>
    <t>N-1</t>
  </si>
  <si>
    <t>N-2</t>
  </si>
  <si>
    <t>N-3</t>
  </si>
  <si>
    <t>N-4</t>
  </si>
  <si>
    <t>Selected profile, MVA</t>
  </si>
  <si>
    <t>End</t>
  </si>
  <si>
    <t>Consequence calculation</t>
  </si>
  <si>
    <t>Scenario</t>
  </si>
  <si>
    <t>Risk</t>
  </si>
  <si>
    <t>Description</t>
  </si>
  <si>
    <t>Network Performance</t>
  </si>
  <si>
    <t>Safety</t>
  </si>
  <si>
    <t>OPEX</t>
  </si>
  <si>
    <t>CAPEX</t>
  </si>
  <si>
    <t>Likelihood of consequence</t>
  </si>
  <si>
    <t>Consequence incl. network performance</t>
  </si>
  <si>
    <t>Consequence ex. network performance</t>
  </si>
  <si>
    <t>Fire brigade attendance</t>
  </si>
  <si>
    <t>Disruption to adjacent residential and commercial customers</t>
  </si>
  <si>
    <t>[Spare]</t>
  </si>
  <si>
    <t>Coincident outage risk</t>
  </si>
  <si>
    <t>Subtotal</t>
  </si>
  <si>
    <t>VCR at risk</t>
  </si>
  <si>
    <t>Average load at risk (pu)</t>
  </si>
  <si>
    <t>Unserved energy day 1</t>
  </si>
  <si>
    <t>Unserved energy day 2</t>
  </si>
  <si>
    <t>Selected profile, VCR at risk</t>
  </si>
  <si>
    <t>Risk cost calculation</t>
  </si>
  <si>
    <t>Risk table forecast</t>
  </si>
  <si>
    <t>Risk costs</t>
  </si>
  <si>
    <t>Other significant risks</t>
  </si>
  <si>
    <t>Other major risks</t>
  </si>
  <si>
    <t>Other catastrophic risls</t>
  </si>
  <si>
    <t>Annual opex, pre-replacement</t>
  </si>
  <si>
    <t>Annualised cost</t>
  </si>
  <si>
    <t>Annualised cost calculation</t>
  </si>
  <si>
    <t>PMT calculation</t>
  </si>
  <si>
    <t>Real WACC, reverse counter</t>
  </si>
  <si>
    <t>Real WACC, reverse discount factor index</t>
  </si>
  <si>
    <t>Annualised capex</t>
  </si>
  <si>
    <t>Post-replacement opex</t>
  </si>
  <si>
    <t>Total annuity</t>
  </si>
  <si>
    <t>Risk cost vs annualised cost</t>
  </si>
  <si>
    <t>Risks vs benefits</t>
  </si>
  <si>
    <t>Risk cost</t>
  </si>
  <si>
    <t>Feasible ?</t>
  </si>
  <si>
    <t>Charts</t>
  </si>
  <si>
    <t>North Richmond Transformer No.1 Replacement Risk Monetisation Model</t>
  </si>
  <si>
    <t>Network Performance - Coincidental outage</t>
  </si>
  <si>
    <t>Coincidental</t>
  </si>
  <si>
    <t>Days to connect generators, plus 1 day lead time</t>
  </si>
  <si>
    <t>Adjustment</t>
  </si>
  <si>
    <t>Weighting to 50% PoE</t>
  </si>
  <si>
    <t>CitiPower</t>
  </si>
  <si>
    <t>Unserved energy</t>
  </si>
  <si>
    <t>Temporary generators and associated costs</t>
  </si>
  <si>
    <t>Cost of replacement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</si>
</sst>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);\(#,##0\);\-\-_)"/>
    <numFmt numFmtId="165" formatCode="#,##0.0%;[Red]\(#,##0.0%\);\-\-\%"/>
    <numFmt numFmtId="166" formatCode="#,##0;[Red]\(#,##0\);\-\-"/>
    <numFmt numFmtId="167" formatCode="0.0%"/>
  </numFmts>
  <fonts count="13" x14ac:knownFonts="1">
    <font>
      <sz val="10"/>
      <color theme="1"/>
      <name val="Verdana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u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indexed="9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i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2" borderId="0"/>
    <xf numFmtId="164" fontId="5" fillId="2" borderId="0"/>
  </cellStyleXfs>
  <cellXfs count="121">
    <xf numFmtId="0" fontId="0" fillId="0" borderId="0" xfId="0"/>
    <xf numFmtId="164" fontId="2" fillId="3" borderId="0" xfId="1" applyFont="1" applyFill="1"/>
    <xf numFmtId="164" fontId="3" fillId="3" borderId="0" xfId="1" applyFont="1" applyFill="1"/>
    <xf numFmtId="164" fontId="4" fillId="3" borderId="0" xfId="1" applyFont="1" applyFill="1"/>
    <xf numFmtId="164" fontId="2" fillId="3" borderId="0" xfId="2" applyFont="1" applyFill="1"/>
    <xf numFmtId="164" fontId="3" fillId="3" borderId="0" xfId="2" applyFont="1" applyFill="1"/>
    <xf numFmtId="164" fontId="4" fillId="3" borderId="0" xfId="2" applyFont="1" applyFill="1"/>
    <xf numFmtId="0" fontId="2" fillId="3" borderId="0" xfId="2" applyNumberFormat="1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9" fillId="2" borderId="0" xfId="2" applyFont="1"/>
    <xf numFmtId="164" fontId="10" fillId="2" borderId="0" xfId="2" applyFont="1"/>
    <xf numFmtId="164" fontId="11" fillId="2" borderId="0" xfId="2" applyFont="1"/>
    <xf numFmtId="0" fontId="8" fillId="4" borderId="1" xfId="0" applyFont="1" applyFill="1" applyBorder="1"/>
    <xf numFmtId="165" fontId="8" fillId="4" borderId="1" xfId="0" applyNumberFormat="1" applyFont="1" applyFill="1" applyBorder="1"/>
    <xf numFmtId="0" fontId="8" fillId="5" borderId="1" xfId="0" applyNumberFormat="1" applyFont="1" applyFill="1" applyBorder="1"/>
    <xf numFmtId="166" fontId="8" fillId="0" borderId="1" xfId="0" applyNumberFormat="1" applyFont="1" applyBorder="1"/>
    <xf numFmtId="166" fontId="8" fillId="4" borderId="1" xfId="0" applyNumberFormat="1" applyFont="1" applyFill="1" applyBorder="1"/>
    <xf numFmtId="166" fontId="8" fillId="0" borderId="1" xfId="0" applyNumberFormat="1" applyFont="1" applyFill="1" applyBorder="1"/>
    <xf numFmtId="0" fontId="8" fillId="4" borderId="1" xfId="0" applyFont="1" applyFill="1" applyBorder="1" applyAlignment="1">
      <alignment horizontal="center"/>
    </xf>
    <xf numFmtId="0" fontId="8" fillId="4" borderId="2" xfId="0" applyFont="1" applyFill="1" applyBorder="1"/>
    <xf numFmtId="0" fontId="8" fillId="4" borderId="3" xfId="0" applyFont="1" applyFill="1" applyBorder="1"/>
    <xf numFmtId="0" fontId="8" fillId="4" borderId="4" xfId="0" applyFont="1" applyFill="1" applyBorder="1"/>
    <xf numFmtId="165" fontId="8" fillId="4" borderId="1" xfId="0" applyNumberFormat="1" applyFont="1" applyFill="1" applyBorder="1" applyAlignment="1">
      <alignment horizontal="center"/>
    </xf>
    <xf numFmtId="165" fontId="8" fillId="5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0" fontId="8" fillId="0" borderId="5" xfId="0" applyFont="1" applyBorder="1"/>
    <xf numFmtId="0" fontId="8" fillId="5" borderId="1" xfId="0" applyFont="1" applyFill="1" applyBorder="1"/>
    <xf numFmtId="0" fontId="8" fillId="0" borderId="0" xfId="0" applyFont="1" applyAlignment="1">
      <alignment wrapText="1"/>
    </xf>
    <xf numFmtId="166" fontId="8" fillId="0" borderId="0" xfId="0" applyNumberFormat="1" applyFont="1"/>
    <xf numFmtId="167" fontId="8" fillId="0" borderId="0" xfId="0" applyNumberFormat="1" applyFont="1" applyFill="1"/>
    <xf numFmtId="166" fontId="8" fillId="0" borderId="0" xfId="0" applyNumberFormat="1" applyFont="1" applyFill="1"/>
    <xf numFmtId="0" fontId="8" fillId="0" borderId="1" xfId="0" applyFont="1" applyFill="1" applyBorder="1" applyAlignment="1">
      <alignment horizontal="center"/>
    </xf>
    <xf numFmtId="166" fontId="8" fillId="0" borderId="6" xfId="0" applyNumberFormat="1" applyFont="1" applyFill="1" applyBorder="1"/>
    <xf numFmtId="0" fontId="8" fillId="0" borderId="0" xfId="0" applyFont="1" applyAlignment="1">
      <alignment horizontal="center"/>
    </xf>
    <xf numFmtId="165" fontId="8" fillId="0" borderId="1" xfId="0" applyNumberFormat="1" applyFont="1" applyFill="1" applyBorder="1" applyAlignment="1">
      <alignment horizontal="right"/>
    </xf>
    <xf numFmtId="165" fontId="8" fillId="5" borderId="1" xfId="0" applyNumberFormat="1" applyFont="1" applyFill="1" applyBorder="1"/>
    <xf numFmtId="165" fontId="8" fillId="4" borderId="6" xfId="0" applyNumberFormat="1" applyFont="1" applyFill="1" applyBorder="1"/>
    <xf numFmtId="164" fontId="2" fillId="3" borderId="0" xfId="1" applyFont="1" applyFill="1" applyProtection="1">
      <protection locked="0"/>
    </xf>
    <xf numFmtId="164" fontId="3" fillId="3" borderId="0" xfId="1" applyFont="1" applyFill="1" applyProtection="1">
      <protection locked="0"/>
    </xf>
    <xf numFmtId="164" fontId="4" fillId="3" borderId="0" xfId="1" applyFont="1" applyFill="1" applyProtection="1">
      <protection locked="0"/>
    </xf>
    <xf numFmtId="0" fontId="0" fillId="0" borderId="0" xfId="0" applyProtection="1">
      <protection locked="0"/>
    </xf>
    <xf numFmtId="164" fontId="2" fillId="3" borderId="0" xfId="2" applyFont="1" applyFill="1" applyProtection="1">
      <protection locked="0"/>
    </xf>
    <xf numFmtId="164" fontId="3" fillId="3" borderId="0" xfId="2" applyFont="1" applyFill="1" applyProtection="1">
      <protection locked="0"/>
    </xf>
    <xf numFmtId="164" fontId="4" fillId="3" borderId="0" xfId="2" applyFont="1" applyFill="1" applyProtection="1">
      <protection locked="0"/>
    </xf>
    <xf numFmtId="0" fontId="2" fillId="3" borderId="0" xfId="2" applyNumberFormat="1" applyFont="1" applyFill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164" fontId="9" fillId="2" borderId="0" xfId="2" applyFont="1" applyProtection="1">
      <protection locked="0"/>
    </xf>
    <xf numFmtId="164" fontId="10" fillId="2" borderId="0" xfId="2" applyFont="1" applyProtection="1">
      <protection locked="0"/>
    </xf>
    <xf numFmtId="164" fontId="11" fillId="2" borderId="0" xfId="2" applyFont="1" applyProtection="1"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165" fontId="8" fillId="0" borderId="1" xfId="0" applyNumberFormat="1" applyFon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wrapText="1"/>
      <protection locked="0"/>
    </xf>
    <xf numFmtId="0" fontId="6" fillId="0" borderId="8" xfId="0" applyFont="1" applyBorder="1" applyAlignment="1" applyProtection="1">
      <alignment wrapText="1"/>
      <protection locked="0"/>
    </xf>
    <xf numFmtId="0" fontId="6" fillId="0" borderId="8" xfId="0" applyFont="1" applyBorder="1" applyProtection="1"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6" fillId="0" borderId="10" xfId="0" applyFont="1" applyBorder="1" applyAlignment="1" applyProtection="1">
      <alignment wrapText="1"/>
      <protection locked="0"/>
    </xf>
    <xf numFmtId="0" fontId="8" fillId="5" borderId="11" xfId="0" applyFont="1" applyFill="1" applyBorder="1" applyAlignment="1" applyProtection="1">
      <alignment horizontal="left"/>
      <protection locked="0"/>
    </xf>
    <xf numFmtId="166" fontId="8" fillId="0" borderId="11" xfId="0" applyNumberFormat="1" applyFont="1" applyFill="1" applyBorder="1" applyProtection="1">
      <protection locked="0"/>
    </xf>
    <xf numFmtId="166" fontId="8" fillId="4" borderId="6" xfId="0" applyNumberFormat="1" applyFont="1" applyFill="1" applyBorder="1" applyProtection="1">
      <protection locked="0"/>
    </xf>
    <xf numFmtId="166" fontId="8" fillId="4" borderId="12" xfId="0" applyNumberFormat="1" applyFont="1" applyFill="1" applyBorder="1" applyProtection="1">
      <protection locked="0"/>
    </xf>
    <xf numFmtId="165" fontId="8" fillId="4" borderId="14" xfId="0" applyNumberFormat="1" applyFont="1" applyFill="1" applyBorder="1" applyAlignment="1" applyProtection="1">
      <alignment horizontal="center"/>
      <protection locked="0"/>
    </xf>
    <xf numFmtId="166" fontId="8" fillId="0" borderId="15" xfId="0" applyNumberFormat="1" applyFont="1" applyFill="1" applyBorder="1" applyProtection="1"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166" fontId="8" fillId="5" borderId="16" xfId="0" applyNumberFormat="1" applyFont="1" applyFill="1" applyBorder="1" applyProtection="1">
      <protection locked="0"/>
    </xf>
    <xf numFmtId="166" fontId="8" fillId="0" borderId="1" xfId="0" applyNumberFormat="1" applyFont="1" applyFill="1" applyBorder="1" applyProtection="1">
      <protection locked="0"/>
    </xf>
    <xf numFmtId="166" fontId="8" fillId="4" borderId="1" xfId="0" applyNumberFormat="1" applyFont="1" applyFill="1" applyBorder="1" applyProtection="1">
      <protection locked="0"/>
    </xf>
    <xf numFmtId="166" fontId="8" fillId="4" borderId="2" xfId="0" applyNumberFormat="1" applyFont="1" applyFill="1" applyBorder="1" applyProtection="1">
      <protection locked="0"/>
    </xf>
    <xf numFmtId="165" fontId="8" fillId="0" borderId="17" xfId="0" applyNumberFormat="1" applyFont="1" applyFill="1" applyBorder="1" applyAlignment="1" applyProtection="1">
      <alignment horizontal="center"/>
      <protection locked="0"/>
    </xf>
    <xf numFmtId="166" fontId="8" fillId="0" borderId="16" xfId="0" applyNumberFormat="1" applyFont="1" applyFill="1" applyBorder="1" applyProtection="1">
      <protection locked="0"/>
    </xf>
    <xf numFmtId="166" fontId="8" fillId="0" borderId="18" xfId="0" applyNumberFormat="1" applyFont="1" applyFill="1" applyBorder="1" applyProtection="1">
      <protection locked="0"/>
    </xf>
    <xf numFmtId="165" fontId="8" fillId="4" borderId="17" xfId="0" applyNumberFormat="1" applyFont="1" applyFill="1" applyBorder="1" applyAlignment="1" applyProtection="1">
      <alignment horizontal="center"/>
      <protection locked="0"/>
    </xf>
    <xf numFmtId="166" fontId="8" fillId="0" borderId="2" xfId="0" applyNumberFormat="1" applyFont="1" applyFill="1" applyBorder="1" applyProtection="1"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166" fontId="8" fillId="5" borderId="19" xfId="0" applyNumberFormat="1" applyFont="1" applyFill="1" applyBorder="1" applyProtection="1">
      <protection locked="0"/>
    </xf>
    <xf numFmtId="166" fontId="8" fillId="4" borderId="20" xfId="0" applyNumberFormat="1" applyFont="1" applyFill="1" applyBorder="1" applyProtection="1">
      <protection locked="0"/>
    </xf>
    <xf numFmtId="166" fontId="8" fillId="4" borderId="21" xfId="0" applyNumberFormat="1" applyFont="1" applyFill="1" applyBorder="1" applyProtection="1">
      <protection locked="0"/>
    </xf>
    <xf numFmtId="165" fontId="8" fillId="4" borderId="24" xfId="0" applyNumberFormat="1" applyFont="1" applyFill="1" applyBorder="1" applyAlignment="1" applyProtection="1">
      <alignment horizontal="center"/>
      <protection locked="0"/>
    </xf>
    <xf numFmtId="166" fontId="8" fillId="0" borderId="19" xfId="0" applyNumberFormat="1" applyFont="1" applyFill="1" applyBorder="1" applyProtection="1">
      <protection locked="0"/>
    </xf>
    <xf numFmtId="166" fontId="8" fillId="0" borderId="25" xfId="0" applyNumberFormat="1" applyFont="1" applyFill="1" applyBorder="1" applyProtection="1"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8" fillId="5" borderId="1" xfId="0" applyFont="1" applyFill="1" applyBorder="1" applyProtection="1">
      <protection locked="0"/>
    </xf>
    <xf numFmtId="0" fontId="8" fillId="0" borderId="5" xfId="0" applyFont="1" applyBorder="1" applyProtection="1">
      <protection locked="0"/>
    </xf>
    <xf numFmtId="166" fontId="8" fillId="0" borderId="6" xfId="0" applyNumberFormat="1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165" fontId="8" fillId="5" borderId="1" xfId="0" applyNumberFormat="1" applyFont="1" applyFill="1" applyBorder="1" applyProtection="1">
      <protection locked="0"/>
    </xf>
    <xf numFmtId="165" fontId="8" fillId="5" borderId="6" xfId="0" applyNumberFormat="1" applyFont="1" applyFill="1" applyBorder="1" applyProtection="1">
      <protection locked="0"/>
    </xf>
    <xf numFmtId="0" fontId="12" fillId="0" borderId="0" xfId="0" applyFont="1" applyProtection="1">
      <protection locked="0"/>
    </xf>
    <xf numFmtId="166" fontId="12" fillId="0" borderId="6" xfId="0" applyNumberFormat="1" applyFont="1" applyBorder="1" applyProtection="1">
      <protection locked="0"/>
    </xf>
    <xf numFmtId="0" fontId="12" fillId="0" borderId="0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0" xfId="0" applyFont="1" applyFill="1" applyProtection="1">
      <protection locked="0"/>
    </xf>
    <xf numFmtId="0" fontId="8" fillId="0" borderId="5" xfId="0" applyFont="1" applyFill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" xfId="0" applyNumberFormat="1" applyFont="1" applyFill="1" applyBorder="1" applyAlignment="1" applyProtection="1">
      <alignment horizontal="right"/>
      <protection locked="0"/>
    </xf>
    <xf numFmtId="0" fontId="8" fillId="4" borderId="6" xfId="0" applyFont="1" applyFill="1" applyBorder="1" applyProtection="1"/>
    <xf numFmtId="0" fontId="8" fillId="4" borderId="12" xfId="0" applyFont="1" applyFill="1" applyBorder="1" applyProtection="1"/>
    <xf numFmtId="0" fontId="8" fillId="4" borderId="5" xfId="0" applyFont="1" applyFill="1" applyBorder="1" applyProtection="1"/>
    <xf numFmtId="0" fontId="8" fillId="4" borderId="13" xfId="0" applyFont="1" applyFill="1" applyBorder="1" applyProtection="1"/>
    <xf numFmtId="0" fontId="8" fillId="4" borderId="1" xfId="0" applyFont="1" applyFill="1" applyBorder="1" applyProtection="1"/>
    <xf numFmtId="0" fontId="8" fillId="4" borderId="2" xfId="0" applyFont="1" applyFill="1" applyBorder="1" applyProtection="1"/>
    <xf numFmtId="0" fontId="8" fillId="4" borderId="3" xfId="0" applyFont="1" applyFill="1" applyBorder="1" applyProtection="1"/>
    <xf numFmtId="0" fontId="8" fillId="4" borderId="4" xfId="0" applyFont="1" applyFill="1" applyBorder="1" applyProtection="1"/>
    <xf numFmtId="0" fontId="8" fillId="4" borderId="20" xfId="0" applyFont="1" applyFill="1" applyBorder="1" applyProtection="1"/>
    <xf numFmtId="0" fontId="8" fillId="4" borderId="21" xfId="0" applyFont="1" applyFill="1" applyBorder="1" applyProtection="1"/>
    <xf numFmtId="0" fontId="8" fillId="4" borderId="22" xfId="0" applyFont="1" applyFill="1" applyBorder="1" applyProtection="1"/>
    <xf numFmtId="0" fontId="8" fillId="4" borderId="23" xfId="0" applyFont="1" applyFill="1" applyBorder="1" applyProtection="1"/>
    <xf numFmtId="166" fontId="12" fillId="0" borderId="6" xfId="0" applyNumberFormat="1" applyFont="1" applyFill="1" applyBorder="1" applyProtection="1">
      <protection locked="0"/>
    </xf>
    <xf numFmtId="0" fontId="8" fillId="5" borderId="6" xfId="0" applyFont="1" applyFill="1" applyBorder="1" applyProtection="1">
      <protection locked="0"/>
    </xf>
    <xf numFmtId="166" fontId="8" fillId="5" borderId="1" xfId="0" applyNumberFormat="1" applyFont="1" applyFill="1" applyBorder="1" applyProtection="1">
      <protection locked="0"/>
    </xf>
    <xf numFmtId="165" fontId="8" fillId="0" borderId="14" xfId="0" applyNumberFormat="1" applyFont="1" applyFill="1" applyBorder="1" applyAlignment="1" applyProtection="1">
      <alignment horizontal="center"/>
      <protection locked="0"/>
    </xf>
    <xf numFmtId="165" fontId="8" fillId="0" borderId="24" xfId="0" applyNumberFormat="1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Alignment="1">
      <alignment horizontal="right"/>
    </xf>
    <xf numFmtId="165" fontId="8" fillId="0" borderId="0" xfId="0" applyNumberFormat="1" applyFont="1" applyProtection="1">
      <protection locked="0"/>
    </xf>
    <xf numFmtId="166" fontId="8" fillId="5" borderId="2" xfId="0" applyNumberFormat="1" applyFont="1" applyFill="1" applyBorder="1" applyProtection="1">
      <protection locked="0"/>
    </xf>
    <xf numFmtId="165" fontId="8" fillId="5" borderId="17" xfId="0" applyNumberFormat="1" applyFont="1" applyFill="1" applyBorder="1" applyAlignment="1" applyProtection="1">
      <alignment horizontal="center"/>
      <protection locked="0"/>
    </xf>
  </cellXfs>
  <cellStyles count="3">
    <cellStyle name="Header1" xfId="1"/>
    <cellStyle name="Header1A" xfId="2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Summary!$D$9:$I$9</c:f>
              <c:strCache>
                <c:ptCount val="1"/>
                <c:pt idx="0">
                  <c:v>Risk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Summary!$O$9:$Z$9</c:f>
              <c:numCache>
                <c:formatCode>#,##0;[Red]\(#,##0\);\-\-</c:formatCode>
                <c:ptCount val="12"/>
                <c:pt idx="0">
                  <c:v>127975.43704678721</c:v>
                </c:pt>
                <c:pt idx="1">
                  <c:v>146935.13574161779</c:v>
                </c:pt>
                <c:pt idx="2">
                  <c:v>156445.28082778407</c:v>
                </c:pt>
                <c:pt idx="3">
                  <c:v>167208.76144834951</c:v>
                </c:pt>
                <c:pt idx="4">
                  <c:v>180993.23154674488</c:v>
                </c:pt>
                <c:pt idx="5">
                  <c:v>197432.32618371531</c:v>
                </c:pt>
                <c:pt idx="6">
                  <c:v>221436.66980947467</c:v>
                </c:pt>
                <c:pt idx="7">
                  <c:v>236745.12231821156</c:v>
                </c:pt>
                <c:pt idx="8">
                  <c:v>253246.85305686199</c:v>
                </c:pt>
                <c:pt idx="9">
                  <c:v>271037.936430206</c:v>
                </c:pt>
                <c:pt idx="10">
                  <c:v>290222.33594271395</c:v>
                </c:pt>
                <c:pt idx="11">
                  <c:v>310827.07985519868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6C9-405D-AA9E-20591058D773}"/>
            </c:ext>
          </c:extLst>
        </c:ser>
        <c:ser>
          <c:idx val="1"/>
          <c:order val="1"/>
          <c:tx>
            <c:strRef>
              <c:f>Summary!$D$10:$I$10</c:f>
              <c:strCache>
                <c:ptCount val="1"/>
                <c:pt idx="0">
                  <c:v>Annualised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Summary!$O$10:$Z$10</c:f>
              <c:numCache>
                <c:formatCode>#,##0;[Red]\(#,##0\);\-\-</c:formatCode>
                <c:ptCount val="12"/>
                <c:pt idx="0">
                  <c:v>149837.90518212441</c:v>
                </c:pt>
                <c:pt idx="1">
                  <c:v>149837.90518212441</c:v>
                </c:pt>
                <c:pt idx="2">
                  <c:v>149837.90518212441</c:v>
                </c:pt>
                <c:pt idx="3">
                  <c:v>149837.90518212441</c:v>
                </c:pt>
                <c:pt idx="4">
                  <c:v>149837.90518212441</c:v>
                </c:pt>
                <c:pt idx="5">
                  <c:v>149837.90518212441</c:v>
                </c:pt>
                <c:pt idx="6">
                  <c:v>149837.90518212441</c:v>
                </c:pt>
                <c:pt idx="7">
                  <c:v>149837.90518212441</c:v>
                </c:pt>
                <c:pt idx="8">
                  <c:v>149837.90518212441</c:v>
                </c:pt>
                <c:pt idx="9">
                  <c:v>149837.90518212441</c:v>
                </c:pt>
                <c:pt idx="10">
                  <c:v>149837.90518212441</c:v>
                </c:pt>
                <c:pt idx="11">
                  <c:v>149837.90518212441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6C9-405D-AA9E-20591058D7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02624"/>
        <c:axId val="49828992"/>
      </c:lineChart>
      <c:catAx>
        <c:axId val="49802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828992"/>
        <c:crosses val="autoZero"/>
        <c:auto val="1"/>
        <c:lblAlgn val="ctr"/>
        <c:lblOffset val="100"/>
        <c:noMultiLvlLbl val="0"/>
      </c:catAx>
      <c:valAx>
        <c:axId val="49828992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49802624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Summary!$D$11:$I$11</c:f>
              <c:strCache>
                <c:ptCount val="1"/>
                <c:pt idx="0">
                  <c:v>Risk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Summary!$O$11:$Z$11</c:f>
              <c:numCache>
                <c:formatCode>#,##0;[Red]\(#,##0\);\-\-</c:formatCode>
                <c:ptCount val="12"/>
                <c:pt idx="0">
                  <c:v>101723.29307617512</c:v>
                </c:pt>
                <c:pt idx="1">
                  <c:v>115214.4650958673</c:v>
                </c:pt>
                <c:pt idx="2">
                  <c:v>122405.3524077953</c:v>
                </c:pt>
                <c:pt idx="3">
                  <c:v>130548.83738104971</c:v>
                </c:pt>
                <c:pt idx="4">
                  <c:v>140997.60332627941</c:v>
                </c:pt>
                <c:pt idx="5">
                  <c:v>154884.23326591009</c:v>
                </c:pt>
                <c:pt idx="6">
                  <c:v>173284.41905263683</c:v>
                </c:pt>
                <c:pt idx="7">
                  <c:v>184987.58354832567</c:v>
                </c:pt>
                <c:pt idx="8">
                  <c:v>197602.99775742166</c:v>
                </c:pt>
                <c:pt idx="9">
                  <c:v>211204.10963701422</c:v>
                </c:pt>
                <c:pt idx="10">
                  <c:v>225870.39828492</c:v>
                </c:pt>
                <c:pt idx="11">
                  <c:v>241622.52654620091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7C7-4D9D-B029-BB0415D97533}"/>
            </c:ext>
          </c:extLst>
        </c:ser>
        <c:ser>
          <c:idx val="1"/>
          <c:order val="1"/>
          <c:tx>
            <c:strRef>
              <c:f>Summary!$D$12:$I$12</c:f>
              <c:strCache>
                <c:ptCount val="1"/>
                <c:pt idx="0">
                  <c:v>Annualised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Summary!$O$12:$Z$12</c:f>
              <c:numCache>
                <c:formatCode>#,##0;[Red]\(#,##0\);\-\-</c:formatCode>
                <c:ptCount val="12"/>
                <c:pt idx="0">
                  <c:v>164821.6957003368</c:v>
                </c:pt>
                <c:pt idx="1">
                  <c:v>164821.6957003368</c:v>
                </c:pt>
                <c:pt idx="2">
                  <c:v>164821.6957003368</c:v>
                </c:pt>
                <c:pt idx="3">
                  <c:v>164821.6957003368</c:v>
                </c:pt>
                <c:pt idx="4">
                  <c:v>164821.6957003368</c:v>
                </c:pt>
                <c:pt idx="5">
                  <c:v>164821.6957003368</c:v>
                </c:pt>
                <c:pt idx="6">
                  <c:v>164821.6957003368</c:v>
                </c:pt>
                <c:pt idx="7">
                  <c:v>164821.6957003368</c:v>
                </c:pt>
                <c:pt idx="8">
                  <c:v>164821.6957003368</c:v>
                </c:pt>
                <c:pt idx="9">
                  <c:v>164821.6957003368</c:v>
                </c:pt>
                <c:pt idx="10">
                  <c:v>164821.6957003368</c:v>
                </c:pt>
                <c:pt idx="11">
                  <c:v>164821.6957003368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7C7-4D9D-B029-BB0415D97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30560"/>
        <c:axId val="50548736"/>
      </c:lineChart>
      <c:catAx>
        <c:axId val="50530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0548736"/>
        <c:crosses val="autoZero"/>
        <c:auto val="1"/>
        <c:lblAlgn val="ctr"/>
        <c:lblOffset val="100"/>
        <c:noMultiLvlLbl val="0"/>
      </c:catAx>
      <c:valAx>
        <c:axId val="5054873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50530560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Summary!$D$13:$I$13</c:f>
              <c:strCache>
                <c:ptCount val="1"/>
                <c:pt idx="0">
                  <c:v>Risk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Summary!$O$13:$Z$13</c:f>
              <c:numCache>
                <c:formatCode>#,##0;[Red]\(#,##0\);\-\-</c:formatCode>
                <c:ptCount val="12"/>
                <c:pt idx="0">
                  <c:v>95172.529158712321</c:v>
                </c:pt>
                <c:pt idx="1">
                  <c:v>108368.32542679325</c:v>
                </c:pt>
                <c:pt idx="2">
                  <c:v>115241.16979010035</c:v>
                </c:pt>
                <c:pt idx="3">
                  <c:v>123042.13729150582</c:v>
                </c:pt>
                <c:pt idx="4">
                  <c:v>133121.95643675033</c:v>
                </c:pt>
                <c:pt idx="5">
                  <c:v>146611.09575250151</c:v>
                </c:pt>
                <c:pt idx="6">
                  <c:v>164582.95967172703</c:v>
                </c:pt>
                <c:pt idx="7">
                  <c:v>175824.49637262282</c:v>
                </c:pt>
                <c:pt idx="8">
                  <c:v>187942.29937204206</c:v>
                </c:pt>
                <c:pt idx="9">
                  <c:v>201006.91949455277</c:v>
                </c:pt>
                <c:pt idx="10">
                  <c:v>215094.70080892285</c:v>
                </c:pt>
                <c:pt idx="11">
                  <c:v>230225.49112052095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E36-4E63-AC87-E203C4B9027F}"/>
            </c:ext>
          </c:extLst>
        </c:ser>
        <c:ser>
          <c:idx val="1"/>
          <c:order val="1"/>
          <c:tx>
            <c:strRef>
              <c:f>Summary!$D$14:$I$14</c:f>
              <c:strCache>
                <c:ptCount val="1"/>
                <c:pt idx="0">
                  <c:v>Annualised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Summary!$O$14:$Z$14</c:f>
              <c:numCache>
                <c:formatCode>#,##0;[Red]\(#,##0\);\-\-</c:formatCode>
                <c:ptCount val="12"/>
                <c:pt idx="0">
                  <c:v>134854.11466391193</c:v>
                </c:pt>
                <c:pt idx="1">
                  <c:v>134854.11466391193</c:v>
                </c:pt>
                <c:pt idx="2">
                  <c:v>134854.11466391193</c:v>
                </c:pt>
                <c:pt idx="3">
                  <c:v>134854.11466391193</c:v>
                </c:pt>
                <c:pt idx="4">
                  <c:v>134854.11466391193</c:v>
                </c:pt>
                <c:pt idx="5">
                  <c:v>134854.11466391193</c:v>
                </c:pt>
                <c:pt idx="6">
                  <c:v>134854.11466391193</c:v>
                </c:pt>
                <c:pt idx="7">
                  <c:v>134854.11466391193</c:v>
                </c:pt>
                <c:pt idx="8">
                  <c:v>134854.11466391193</c:v>
                </c:pt>
                <c:pt idx="9">
                  <c:v>134854.11466391193</c:v>
                </c:pt>
                <c:pt idx="10">
                  <c:v>134854.11466391193</c:v>
                </c:pt>
                <c:pt idx="11">
                  <c:v>134854.11466391193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E36-4E63-AC87-E203C4B902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58080"/>
        <c:axId val="50559616"/>
      </c:lineChart>
      <c:catAx>
        <c:axId val="5055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0559616"/>
        <c:crosses val="autoZero"/>
        <c:auto val="1"/>
        <c:lblAlgn val="ctr"/>
        <c:lblOffset val="100"/>
        <c:noMultiLvlLbl val="0"/>
      </c:catAx>
      <c:valAx>
        <c:axId val="5055961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50558080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Summary!$D$15:$I$15</c:f>
              <c:strCache>
                <c:ptCount val="1"/>
                <c:pt idx="0">
                  <c:v>Risk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Summary!$O$15:$Z$15</c:f>
              <c:numCache>
                <c:formatCode>#,##0;[Red]\(#,##0\);\-\-</c:formatCode>
                <c:ptCount val="12"/>
                <c:pt idx="0">
                  <c:v>169405.35695972241</c:v>
                </c:pt>
                <c:pt idx="1">
                  <c:v>192449.50962639751</c:v>
                </c:pt>
                <c:pt idx="2">
                  <c:v>205088.0396416435</c:v>
                </c:pt>
                <c:pt idx="3">
                  <c:v>219361.71019609494</c:v>
                </c:pt>
                <c:pt idx="4">
                  <c:v>237519.74232643258</c:v>
                </c:pt>
                <c:pt idx="5">
                  <c:v>259100.36519419291</c:v>
                </c:pt>
                <c:pt idx="6">
                  <c:v>290346.52522502025</c:v>
                </c:pt>
                <c:pt idx="7">
                  <c:v>310602.76928500849</c:v>
                </c:pt>
                <c:pt idx="8">
                  <c:v>332437.96687036473</c:v>
                </c:pt>
                <c:pt idx="9">
                  <c:v>355979.24425920437</c:v>
                </c:pt>
                <c:pt idx="10">
                  <c:v>381364.16663773317</c:v>
                </c:pt>
                <c:pt idx="11">
                  <c:v>408628.49797668715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A61-4BAB-9065-FB75618058A7}"/>
            </c:ext>
          </c:extLst>
        </c:ser>
        <c:ser>
          <c:idx val="1"/>
          <c:order val="1"/>
          <c:tx>
            <c:strRef>
              <c:f>Summary!$D$16:$I$16</c:f>
              <c:strCache>
                <c:ptCount val="1"/>
                <c:pt idx="0">
                  <c:v>Annualised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Summary!$O$16:$Z$16</c:f>
              <c:numCache>
                <c:formatCode>#,##0;[Red]\(#,##0\);\-\-</c:formatCode>
                <c:ptCount val="12"/>
                <c:pt idx="0">
                  <c:v>164821.6957003368</c:v>
                </c:pt>
                <c:pt idx="1">
                  <c:v>164821.6957003368</c:v>
                </c:pt>
                <c:pt idx="2">
                  <c:v>164821.6957003368</c:v>
                </c:pt>
                <c:pt idx="3">
                  <c:v>164821.6957003368</c:v>
                </c:pt>
                <c:pt idx="4">
                  <c:v>164821.6957003368</c:v>
                </c:pt>
                <c:pt idx="5">
                  <c:v>164821.6957003368</c:v>
                </c:pt>
                <c:pt idx="6">
                  <c:v>164821.6957003368</c:v>
                </c:pt>
                <c:pt idx="7">
                  <c:v>164821.6957003368</c:v>
                </c:pt>
                <c:pt idx="8">
                  <c:v>164821.6957003368</c:v>
                </c:pt>
                <c:pt idx="9">
                  <c:v>164821.6957003368</c:v>
                </c:pt>
                <c:pt idx="10">
                  <c:v>164821.6957003368</c:v>
                </c:pt>
                <c:pt idx="11">
                  <c:v>164821.6957003368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A61-4BAB-9065-FB75618058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69216"/>
        <c:axId val="50570752"/>
      </c:lineChart>
      <c:catAx>
        <c:axId val="50569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0570752"/>
        <c:crosses val="autoZero"/>
        <c:auto val="1"/>
        <c:lblAlgn val="ctr"/>
        <c:lblOffset val="100"/>
        <c:noMultiLvlLbl val="0"/>
      </c:catAx>
      <c:valAx>
        <c:axId val="50570752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50569216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Summary!$D$17:$I$17</c:f>
              <c:strCache>
                <c:ptCount val="1"/>
                <c:pt idx="0">
                  <c:v>Risk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Summary!$O$17:$Z$17</c:f>
              <c:numCache>
                <c:formatCode>#,##0;[Red]\(#,##0\);\-\-</c:formatCode>
                <c:ptCount val="12"/>
                <c:pt idx="0">
                  <c:v>161928.50548537998</c:v>
                </c:pt>
                <c:pt idx="1">
                  <c:v>184611.64334453022</c:v>
                </c:pt>
                <c:pt idx="2">
                  <c:v>196861.45420035068</c:v>
                </c:pt>
                <c:pt idx="3">
                  <c:v>210716.49228920898</c:v>
                </c:pt>
                <c:pt idx="4">
                  <c:v>228423.5894417869</c:v>
                </c:pt>
                <c:pt idx="5">
                  <c:v>249518.39043591669</c:v>
                </c:pt>
                <c:pt idx="6">
                  <c:v>280241.04596202041</c:v>
                </c:pt>
                <c:pt idx="7">
                  <c:v>299933.07827281713</c:v>
                </c:pt>
                <c:pt idx="8">
                  <c:v>321160.08437967958</c:v>
                </c:pt>
                <c:pt idx="9">
                  <c:v>344045.64962097479</c:v>
                </c:pt>
                <c:pt idx="10">
                  <c:v>368723.50748073764</c:v>
                </c:pt>
                <c:pt idx="11">
                  <c:v>395228.42577007925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A3F-4DE0-82DC-785E6CCCFC5F}"/>
            </c:ext>
          </c:extLst>
        </c:ser>
        <c:ser>
          <c:idx val="1"/>
          <c:order val="1"/>
          <c:tx>
            <c:strRef>
              <c:f>Summary!$D$18:$I$18</c:f>
              <c:strCache>
                <c:ptCount val="1"/>
                <c:pt idx="0">
                  <c:v>Annualised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Summary!$O$18:$Z$18</c:f>
              <c:numCache>
                <c:formatCode>#,##0;[Red]\(#,##0\);\-\-</c:formatCode>
                <c:ptCount val="12"/>
                <c:pt idx="0">
                  <c:v>134854.11466391193</c:v>
                </c:pt>
                <c:pt idx="1">
                  <c:v>134854.11466391193</c:v>
                </c:pt>
                <c:pt idx="2">
                  <c:v>134854.11466391193</c:v>
                </c:pt>
                <c:pt idx="3">
                  <c:v>134854.11466391193</c:v>
                </c:pt>
                <c:pt idx="4">
                  <c:v>134854.11466391193</c:v>
                </c:pt>
                <c:pt idx="5">
                  <c:v>134854.11466391193</c:v>
                </c:pt>
                <c:pt idx="6">
                  <c:v>134854.11466391193</c:v>
                </c:pt>
                <c:pt idx="7">
                  <c:v>134854.11466391193</c:v>
                </c:pt>
                <c:pt idx="8">
                  <c:v>134854.11466391193</c:v>
                </c:pt>
                <c:pt idx="9">
                  <c:v>134854.11466391193</c:v>
                </c:pt>
                <c:pt idx="10">
                  <c:v>134854.11466391193</c:v>
                </c:pt>
                <c:pt idx="11">
                  <c:v>134854.11466391193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A3F-4DE0-82DC-785E6CCCF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37152"/>
        <c:axId val="51147136"/>
      </c:lineChart>
      <c:catAx>
        <c:axId val="5113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147136"/>
        <c:crosses val="autoZero"/>
        <c:auto val="1"/>
        <c:lblAlgn val="ctr"/>
        <c:lblOffset val="100"/>
        <c:noMultiLvlLbl val="0"/>
      </c:catAx>
      <c:valAx>
        <c:axId val="5114713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51137152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20</xdr:row>
      <xdr:rowOff>47625</xdr:rowOff>
    </xdr:from>
    <xdr:to>
      <xdr:col>9</xdr:col>
      <xdr:colOff>679000</xdr:colOff>
      <xdr:row>37</xdr:row>
      <xdr:rowOff>48875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54768</xdr:colOff>
      <xdr:row>20</xdr:row>
      <xdr:rowOff>47625</xdr:rowOff>
    </xdr:from>
    <xdr:to>
      <xdr:col>14</xdr:col>
      <xdr:colOff>352769</xdr:colOff>
      <xdr:row>37</xdr:row>
      <xdr:rowOff>48875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414337</xdr:colOff>
      <xdr:row>20</xdr:row>
      <xdr:rowOff>47625</xdr:rowOff>
    </xdr:from>
    <xdr:to>
      <xdr:col>19</xdr:col>
      <xdr:colOff>26537</xdr:colOff>
      <xdr:row>37</xdr:row>
      <xdr:rowOff>48875</xdr:rowOff>
    </xdr:to>
    <xdr:graphicFrame macro="">
      <xdr:nvGraphicFramePr>
        <xdr:cNvPr id="8" name="Chart 7">
          <a:extLst>
            <a:ext uri="{FF2B5EF4-FFF2-40B4-BE49-F238E27FC236}">
              <a16:creationId xmlns="" xmlns:a16="http://schemas.microsoft.com/office/drawing/2014/main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88106</xdr:colOff>
      <xdr:row>20</xdr:row>
      <xdr:rowOff>47625</xdr:rowOff>
    </xdr:from>
    <xdr:to>
      <xdr:col>23</xdr:col>
      <xdr:colOff>386106</xdr:colOff>
      <xdr:row>37</xdr:row>
      <xdr:rowOff>48875</xdr:rowOff>
    </xdr:to>
    <xdr:graphicFrame macro="">
      <xdr:nvGraphicFramePr>
        <xdr:cNvPr id="9" name="Chart 8">
          <a:extLst>
            <a:ext uri="{FF2B5EF4-FFF2-40B4-BE49-F238E27FC236}">
              <a16:creationId xmlns="" xmlns:a16="http://schemas.microsoft.com/office/drawing/2014/main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447675</xdr:colOff>
      <xdr:row>20</xdr:row>
      <xdr:rowOff>47625</xdr:rowOff>
    </xdr:from>
    <xdr:to>
      <xdr:col>47</xdr:col>
      <xdr:colOff>40826</xdr:colOff>
      <xdr:row>37</xdr:row>
      <xdr:rowOff>48875</xdr:rowOff>
    </xdr:to>
    <xdr:graphicFrame macro="">
      <xdr:nvGraphicFramePr>
        <xdr:cNvPr id="10" name="Chart 9">
          <a:extLst>
            <a:ext uri="{FF2B5EF4-FFF2-40B4-BE49-F238E27FC236}">
              <a16:creationId xmlns="" xmlns:a16="http://schemas.microsoft.com/office/drawing/2014/main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E213"/>
  <sheetViews>
    <sheetView showGridLines="0" tabSelected="1" zoomScale="80" zoomScaleNormal="80" workbookViewId="0">
      <pane ySplit="3" topLeftCell="A4" activePane="bottomLeft" state="frozen"/>
      <selection pane="bottomLeft" activeCell="A4" sqref="A4"/>
    </sheetView>
  </sheetViews>
  <sheetFormatPr defaultColWidth="0" defaultRowHeight="12.75" zeroHeight="1" x14ac:dyDescent="0.2"/>
  <cols>
    <col min="1" max="8" width="3.125" customWidth="1"/>
    <col min="9" max="14" width="12.5" customWidth="1"/>
    <col min="15" max="26" width="9.375" customWidth="1"/>
    <col min="27" max="57" width="0.625" customWidth="1"/>
    <col min="58" max="16384" width="9" hidden="1"/>
  </cols>
  <sheetData>
    <row r="1" spans="1:57" x14ac:dyDescent="0.2">
      <c r="A1" s="1" t="str">
        <f>J8&amp;" - "&amp;J9</f>
        <v>CitiPower - North Richmond Transformer No.1 Replacement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x14ac:dyDescent="0.2">
      <c r="A2" s="4" t="str">
        <f ca="1">RIGHT(CELL("filename", $A$1), LEN(CELL("filename", $A$1)) - SEARCH("]", CELL("filename", $A$1)))</f>
        <v>Inputs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$J$10</f>
        <v>2019</v>
      </c>
      <c r="P2" s="7">
        <f>O2+1</f>
        <v>2020</v>
      </c>
      <c r="Q2" s="7">
        <f t="shared" ref="Q2:Z2" si="0">P2+1</f>
        <v>2021</v>
      </c>
      <c r="R2" s="7">
        <f t="shared" si="0"/>
        <v>2022</v>
      </c>
      <c r="S2" s="7">
        <f t="shared" si="0"/>
        <v>2023</v>
      </c>
      <c r="T2" s="7">
        <f t="shared" si="0"/>
        <v>2024</v>
      </c>
      <c r="U2" s="7">
        <f t="shared" si="0"/>
        <v>2025</v>
      </c>
      <c r="V2" s="7">
        <f t="shared" si="0"/>
        <v>2026</v>
      </c>
      <c r="W2" s="7">
        <f t="shared" si="0"/>
        <v>2027</v>
      </c>
      <c r="X2" s="7">
        <f t="shared" si="0"/>
        <v>2028</v>
      </c>
      <c r="Y2" s="7">
        <f t="shared" si="0"/>
        <v>2029</v>
      </c>
      <c r="Z2" s="7">
        <f t="shared" si="0"/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x14ac:dyDescent="0.2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x14ac:dyDescent="0.2">
      <c r="A4" s="11" t="s">
        <v>0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x14ac:dyDescent="0.2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x14ac:dyDescent="0.2">
      <c r="A6" s="8"/>
      <c r="B6" s="8" t="s">
        <v>1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x14ac:dyDescent="0.2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x14ac:dyDescent="0.2">
      <c r="A8" s="8"/>
      <c r="B8" s="8"/>
      <c r="C8" s="9" t="s">
        <v>2</v>
      </c>
      <c r="D8" s="10"/>
      <c r="E8" s="10"/>
      <c r="F8" s="10"/>
      <c r="G8" s="10"/>
      <c r="H8" s="10"/>
      <c r="I8" s="10"/>
      <c r="J8" s="14" t="s">
        <v>196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x14ac:dyDescent="0.2">
      <c r="A9" s="8"/>
      <c r="B9" s="8"/>
      <c r="C9" s="9" t="s">
        <v>3</v>
      </c>
      <c r="D9" s="10"/>
      <c r="E9" s="10"/>
      <c r="F9" s="10"/>
      <c r="G9" s="10"/>
      <c r="H9" s="10"/>
      <c r="I9" s="10"/>
      <c r="J9" s="14" t="s">
        <v>190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x14ac:dyDescent="0.2">
      <c r="A10" s="8"/>
      <c r="B10" s="8"/>
      <c r="C10" s="9" t="s">
        <v>4</v>
      </c>
      <c r="D10" s="10"/>
      <c r="E10" s="10"/>
      <c r="F10" s="10"/>
      <c r="G10" s="10"/>
      <c r="H10" s="10"/>
      <c r="I10" s="10"/>
      <c r="J10" s="14">
        <v>2019</v>
      </c>
      <c r="K10" s="117" t="str">
        <f>"FY"&amp;RIGHT(J10,2)&amp;"/"&amp;RIGHT(J10+1,2)</f>
        <v>FY19/20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x14ac:dyDescent="0.2">
      <c r="A11" s="8"/>
      <c r="B11" s="8"/>
      <c r="C11" s="9" t="s">
        <v>5</v>
      </c>
      <c r="D11" s="10"/>
      <c r="E11" s="10"/>
      <c r="F11" s="10"/>
      <c r="G11" s="10"/>
      <c r="H11" s="10"/>
      <c r="I11" s="10"/>
      <c r="J11" s="15">
        <v>2.75E-2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x14ac:dyDescent="0.2">
      <c r="A12" s="8"/>
      <c r="B12" s="8"/>
      <c r="C12" s="9" t="s">
        <v>6</v>
      </c>
      <c r="D12" s="10"/>
      <c r="E12" s="10"/>
      <c r="F12" s="10"/>
      <c r="G12" s="10"/>
      <c r="H12" s="10"/>
      <c r="I12" s="10"/>
      <c r="J12" s="14">
        <v>50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x14ac:dyDescent="0.2">
      <c r="A13" s="8"/>
      <c r="B13" s="8"/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x14ac:dyDescent="0.2">
      <c r="A14" s="8"/>
      <c r="B14" s="8" t="s">
        <v>7</v>
      </c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x14ac:dyDescent="0.2">
      <c r="A15" s="8"/>
      <c r="B15" s="8"/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x14ac:dyDescent="0.2">
      <c r="A16" s="8"/>
      <c r="B16" s="8"/>
      <c r="C16" s="9" t="s">
        <v>8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6">
        <v>2010</v>
      </c>
      <c r="P16" s="16">
        <f>O16+1</f>
        <v>2011</v>
      </c>
      <c r="Q16" s="16">
        <f t="shared" ref="Q16:Z16" si="1">P16+1</f>
        <v>2012</v>
      </c>
      <c r="R16" s="16">
        <f t="shared" si="1"/>
        <v>2013</v>
      </c>
      <c r="S16" s="16">
        <f t="shared" si="1"/>
        <v>2014</v>
      </c>
      <c r="T16" s="16">
        <f t="shared" si="1"/>
        <v>2015</v>
      </c>
      <c r="U16" s="16">
        <f t="shared" si="1"/>
        <v>2016</v>
      </c>
      <c r="V16" s="16">
        <f t="shared" si="1"/>
        <v>2017</v>
      </c>
      <c r="W16" s="16">
        <f t="shared" si="1"/>
        <v>2018</v>
      </c>
      <c r="X16" s="16">
        <f t="shared" si="1"/>
        <v>2019</v>
      </c>
      <c r="Y16" s="16">
        <f t="shared" si="1"/>
        <v>2020</v>
      </c>
      <c r="Z16" s="16">
        <f t="shared" si="1"/>
        <v>2021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x14ac:dyDescent="0.2">
      <c r="A17" s="8"/>
      <c r="B17" s="8"/>
      <c r="C17" s="9"/>
      <c r="D17" s="10" t="s">
        <v>9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5">
        <v>1.2543595909167342</v>
      </c>
      <c r="P17" s="15">
        <v>1.2203406060505559</v>
      </c>
      <c r="Q17" s="15">
        <v>1.1788463045070312</v>
      </c>
      <c r="R17" s="15">
        <v>1.155686259231844</v>
      </c>
      <c r="S17" s="15">
        <v>1.1312390499019396</v>
      </c>
      <c r="T17" s="15">
        <v>1.1057223796033995</v>
      </c>
      <c r="U17" s="15">
        <v>1.0892651162790699</v>
      </c>
      <c r="V17" s="15">
        <v>1.0782320441988953</v>
      </c>
      <c r="W17" s="15">
        <v>1.0577777777777779</v>
      </c>
      <c r="X17" s="15">
        <v>1.0362477876106195</v>
      </c>
      <c r="Y17" s="15">
        <v>1.02</v>
      </c>
      <c r="Z17" s="15">
        <v>1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x14ac:dyDescent="0.2">
      <c r="A18" s="8"/>
      <c r="B18" s="8"/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x14ac:dyDescent="0.2">
      <c r="A19" s="8"/>
      <c r="B19" s="8" t="s">
        <v>10</v>
      </c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x14ac:dyDescent="0.2">
      <c r="A20" s="8"/>
      <c r="B20" s="8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x14ac:dyDescent="0.2">
      <c r="A21" s="8"/>
      <c r="B21" s="8"/>
      <c r="C21" s="9" t="str">
        <f>"Replacement capex regulator, real $"&amp;$J$10</f>
        <v>Replacement capex regulator, real $2019</v>
      </c>
      <c r="D21" s="10"/>
      <c r="E21" s="10"/>
      <c r="F21" s="10"/>
      <c r="G21" s="10"/>
      <c r="H21" s="10"/>
      <c r="I21" s="10"/>
      <c r="J21" s="17">
        <f>SUM(O21:Z21)</f>
        <v>3748000</v>
      </c>
      <c r="K21" s="10"/>
      <c r="L21" s="10"/>
      <c r="M21" s="10"/>
      <c r="N21" s="10"/>
      <c r="O21" s="18">
        <v>0</v>
      </c>
      <c r="P21" s="18">
        <v>0</v>
      </c>
      <c r="Q21" s="18">
        <v>0</v>
      </c>
      <c r="R21" s="18">
        <v>50000</v>
      </c>
      <c r="S21" s="18">
        <v>750000</v>
      </c>
      <c r="T21" s="18">
        <v>2948000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x14ac:dyDescent="0.2">
      <c r="A22" s="8"/>
      <c r="B22" s="8"/>
      <c r="C22" s="9"/>
      <c r="D22" s="10" t="s">
        <v>11</v>
      </c>
      <c r="E22" s="10"/>
      <c r="F22" s="10"/>
      <c r="G22" s="10"/>
      <c r="H22" s="10"/>
      <c r="I22" s="10"/>
      <c r="J22" s="19">
        <f>SUM(O22:Z22)</f>
        <v>3883856.7079646019</v>
      </c>
      <c r="K22" s="10"/>
      <c r="L22" s="10"/>
      <c r="M22" s="10"/>
      <c r="N22" s="10"/>
      <c r="O22" s="19">
        <f t="shared" ref="O22:Z22" si="2">O21*HLOOKUP($J$10,$O$16:$Z$17,2,0)</f>
        <v>0</v>
      </c>
      <c r="P22" s="19">
        <f t="shared" si="2"/>
        <v>0</v>
      </c>
      <c r="Q22" s="19">
        <f t="shared" si="2"/>
        <v>0</v>
      </c>
      <c r="R22" s="19">
        <f t="shared" si="2"/>
        <v>51812.389380530978</v>
      </c>
      <c r="S22" s="19">
        <f t="shared" si="2"/>
        <v>777185.84070796461</v>
      </c>
      <c r="T22" s="19">
        <f t="shared" si="2"/>
        <v>3054858.4778761063</v>
      </c>
      <c r="U22" s="19">
        <f t="shared" si="2"/>
        <v>0</v>
      </c>
      <c r="V22" s="19">
        <f t="shared" si="2"/>
        <v>0</v>
      </c>
      <c r="W22" s="19">
        <f t="shared" si="2"/>
        <v>0</v>
      </c>
      <c r="X22" s="19">
        <f t="shared" si="2"/>
        <v>0</v>
      </c>
      <c r="Y22" s="19">
        <f t="shared" si="2"/>
        <v>0</v>
      </c>
      <c r="Z22" s="19">
        <f t="shared" si="2"/>
        <v>0</v>
      </c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x14ac:dyDescent="0.2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x14ac:dyDescent="0.2">
      <c r="A24" s="8"/>
      <c r="B24" s="8" t="s">
        <v>12</v>
      </c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x14ac:dyDescent="0.2">
      <c r="A25" s="8"/>
      <c r="B25" s="8"/>
      <c r="C25" s="9"/>
      <c r="D25" s="10"/>
      <c r="E25" s="10"/>
      <c r="F25" s="10"/>
      <c r="G25" s="10"/>
      <c r="H25" s="10"/>
      <c r="I25" s="10"/>
      <c r="J25" s="10" t="s">
        <v>13</v>
      </c>
      <c r="K25" s="10" t="s">
        <v>14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x14ac:dyDescent="0.2">
      <c r="A26" s="8"/>
      <c r="B26" s="8"/>
      <c r="C26" s="9" t="str">
        <f>"Annual opex, real $"&amp;$J$10</f>
        <v>Annual opex, real $2019</v>
      </c>
      <c r="D26" s="10"/>
      <c r="E26" s="10"/>
      <c r="F26" s="10"/>
      <c r="G26" s="10"/>
      <c r="H26" s="10"/>
      <c r="I26" s="10"/>
      <c r="J26" s="18">
        <v>11500</v>
      </c>
      <c r="K26" s="18">
        <v>4900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x14ac:dyDescent="0.2">
      <c r="A27" s="8"/>
      <c r="B27" s="8"/>
      <c r="C27" s="9"/>
      <c r="D27" s="10" t="s">
        <v>15</v>
      </c>
      <c r="E27" s="10"/>
      <c r="F27" s="10"/>
      <c r="G27" s="10"/>
      <c r="H27" s="10"/>
      <c r="I27" s="10"/>
      <c r="J27" s="19">
        <f>J26*HLOOKUP($J$10,$O$16:$Z$17,2,0)</f>
        <v>11916.849557522124</v>
      </c>
      <c r="K27" s="19">
        <f>K26*HLOOKUP($J$10,$O$16:$Z$17,2,0)</f>
        <v>5077.6141592920358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x14ac:dyDescent="0.2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x14ac:dyDescent="0.2">
      <c r="A29" s="11" t="s">
        <v>16</v>
      </c>
      <c r="B29" s="11"/>
      <c r="C29" s="12"/>
      <c r="D29" s="13"/>
      <c r="E29" s="13"/>
      <c r="F29" s="13"/>
      <c r="G29" s="13"/>
      <c r="H29" s="13"/>
      <c r="I29" s="13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</row>
    <row r="30" spans="1:57" x14ac:dyDescent="0.2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x14ac:dyDescent="0.2">
      <c r="A31" s="8"/>
      <c r="B31" s="8" t="s">
        <v>17</v>
      </c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x14ac:dyDescent="0.2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x14ac:dyDescent="0.2">
      <c r="A33" s="8"/>
      <c r="B33" s="8"/>
      <c r="C33" s="9" t="s">
        <v>18</v>
      </c>
      <c r="D33" s="10"/>
      <c r="E33" s="10"/>
      <c r="F33" s="10"/>
      <c r="G33" s="10"/>
      <c r="H33" s="10"/>
      <c r="I33" s="10"/>
      <c r="J33" s="20" t="s">
        <v>19</v>
      </c>
      <c r="K33" s="20" t="s">
        <v>20</v>
      </c>
      <c r="L33" s="20" t="s">
        <v>21</v>
      </c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x14ac:dyDescent="0.2">
      <c r="A34" s="8"/>
      <c r="B34" s="8"/>
      <c r="C34" s="9"/>
      <c r="D34" s="21" t="s">
        <v>22</v>
      </c>
      <c r="E34" s="22"/>
      <c r="F34" s="22"/>
      <c r="G34" s="22"/>
      <c r="H34" s="22"/>
      <c r="I34" s="23"/>
      <c r="J34" s="24">
        <v>-0.1</v>
      </c>
      <c r="K34" s="25">
        <v>0</v>
      </c>
      <c r="L34" s="24">
        <v>0.1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x14ac:dyDescent="0.2">
      <c r="A35" s="8"/>
      <c r="B35" s="8"/>
      <c r="C35" s="9"/>
      <c r="D35" s="21" t="s">
        <v>10</v>
      </c>
      <c r="E35" s="22"/>
      <c r="F35" s="22"/>
      <c r="G35" s="22"/>
      <c r="H35" s="22"/>
      <c r="I35" s="23"/>
      <c r="J35" s="24">
        <v>-0.1</v>
      </c>
      <c r="K35" s="25">
        <v>0</v>
      </c>
      <c r="L35" s="24">
        <v>0.1</v>
      </c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x14ac:dyDescent="0.2">
      <c r="A36" s="8"/>
      <c r="B36" s="8"/>
      <c r="C36" s="9"/>
      <c r="D36" s="21" t="s">
        <v>12</v>
      </c>
      <c r="E36" s="22"/>
      <c r="F36" s="22"/>
      <c r="G36" s="22"/>
      <c r="H36" s="22"/>
      <c r="I36" s="23"/>
      <c r="J36" s="24">
        <v>-0.1</v>
      </c>
      <c r="K36" s="25">
        <v>0</v>
      </c>
      <c r="L36" s="24">
        <v>0.1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x14ac:dyDescent="0.2">
      <c r="A37" s="8"/>
      <c r="B37" s="8"/>
      <c r="C37" s="9"/>
      <c r="D37" s="21" t="s">
        <v>23</v>
      </c>
      <c r="E37" s="22"/>
      <c r="F37" s="22"/>
      <c r="G37" s="22"/>
      <c r="H37" s="22"/>
      <c r="I37" s="23"/>
      <c r="J37" s="24">
        <v>-0.05</v>
      </c>
      <c r="K37" s="25">
        <v>0</v>
      </c>
      <c r="L37" s="24">
        <v>0.05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x14ac:dyDescent="0.2">
      <c r="A38" s="8"/>
      <c r="B38" s="8"/>
      <c r="C38" s="9"/>
      <c r="D38" s="21" t="s">
        <v>24</v>
      </c>
      <c r="E38" s="22"/>
      <c r="F38" s="22"/>
      <c r="G38" s="22"/>
      <c r="H38" s="22"/>
      <c r="I38" s="23"/>
      <c r="J38" s="24">
        <v>-0.1</v>
      </c>
      <c r="K38" s="25">
        <v>0</v>
      </c>
      <c r="L38" s="24">
        <v>0.1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x14ac:dyDescent="0.2">
      <c r="A39" s="8"/>
      <c r="B39" s="8"/>
      <c r="C39" s="9"/>
      <c r="D39" s="21" t="s">
        <v>25</v>
      </c>
      <c r="E39" s="22"/>
      <c r="F39" s="22"/>
      <c r="G39" s="22"/>
      <c r="H39" s="22"/>
      <c r="I39" s="23"/>
      <c r="J39" s="24">
        <v>-0.1</v>
      </c>
      <c r="K39" s="25">
        <v>0</v>
      </c>
      <c r="L39" s="24">
        <v>0.1</v>
      </c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x14ac:dyDescent="0.2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x14ac:dyDescent="0.2">
      <c r="A41" s="8"/>
      <c r="B41" s="8" t="s">
        <v>26</v>
      </c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x14ac:dyDescent="0.2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x14ac:dyDescent="0.2">
      <c r="A43" s="8"/>
      <c r="B43" s="8"/>
      <c r="C43" s="9" t="s">
        <v>27</v>
      </c>
      <c r="D43" s="10"/>
      <c r="E43" s="10"/>
      <c r="F43" s="10"/>
      <c r="G43" s="10"/>
      <c r="H43" s="10"/>
      <c r="I43" s="10"/>
      <c r="J43" s="10" t="str">
        <f>D34</f>
        <v>PoF</v>
      </c>
      <c r="K43" s="10" t="str">
        <f>D35</f>
        <v>Capex</v>
      </c>
      <c r="L43" s="10" t="str">
        <f>D36</f>
        <v>Opex</v>
      </c>
      <c r="M43" s="10" t="str">
        <f>D37</f>
        <v>Demand</v>
      </c>
      <c r="N43" s="10" t="str">
        <f>D38</f>
        <v>VCR</v>
      </c>
      <c r="O43" s="10" t="str">
        <f>D39</f>
        <v>Environment</v>
      </c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x14ac:dyDescent="0.2">
      <c r="A44" s="8"/>
      <c r="B44" s="8"/>
      <c r="C44" s="9"/>
      <c r="D44" s="21" t="s">
        <v>28</v>
      </c>
      <c r="E44" s="22"/>
      <c r="F44" s="22"/>
      <c r="G44" s="22"/>
      <c r="H44" s="22"/>
      <c r="I44" s="23"/>
      <c r="J44" s="26" t="str">
        <f>$K$33</f>
        <v>Central</v>
      </c>
      <c r="K44" s="26" t="str">
        <f t="shared" ref="K44:O44" si="3">$K$33</f>
        <v>Central</v>
      </c>
      <c r="L44" s="26" t="str">
        <f t="shared" si="3"/>
        <v>Central</v>
      </c>
      <c r="M44" s="26" t="str">
        <f t="shared" si="3"/>
        <v>Central</v>
      </c>
      <c r="N44" s="26" t="str">
        <f t="shared" si="3"/>
        <v>Central</v>
      </c>
      <c r="O44" s="26" t="str">
        <f t="shared" si="3"/>
        <v>Central</v>
      </c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x14ac:dyDescent="0.2">
      <c r="A45" s="8"/>
      <c r="B45" s="8"/>
      <c r="C45" s="9"/>
      <c r="D45" s="21" t="s">
        <v>29</v>
      </c>
      <c r="E45" s="22"/>
      <c r="F45" s="22"/>
      <c r="G45" s="22"/>
      <c r="H45" s="22"/>
      <c r="I45" s="23"/>
      <c r="J45" s="20" t="s">
        <v>19</v>
      </c>
      <c r="K45" s="20" t="s">
        <v>21</v>
      </c>
      <c r="L45" s="20" t="s">
        <v>21</v>
      </c>
      <c r="M45" s="20" t="s">
        <v>19</v>
      </c>
      <c r="N45" s="20" t="s">
        <v>19</v>
      </c>
      <c r="O45" s="20" t="s">
        <v>19</v>
      </c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x14ac:dyDescent="0.2">
      <c r="A46" s="8"/>
      <c r="B46" s="8"/>
      <c r="C46" s="9"/>
      <c r="D46" s="21" t="s">
        <v>30</v>
      </c>
      <c r="E46" s="22"/>
      <c r="F46" s="22"/>
      <c r="G46" s="22"/>
      <c r="H46" s="22"/>
      <c r="I46" s="23"/>
      <c r="J46" s="20" t="s">
        <v>19</v>
      </c>
      <c r="K46" s="20" t="s">
        <v>19</v>
      </c>
      <c r="L46" s="20" t="s">
        <v>19</v>
      </c>
      <c r="M46" s="20" t="s">
        <v>19</v>
      </c>
      <c r="N46" s="20" t="s">
        <v>19</v>
      </c>
      <c r="O46" s="20" t="s">
        <v>19</v>
      </c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x14ac:dyDescent="0.2">
      <c r="A47" s="8"/>
      <c r="B47" s="8"/>
      <c r="C47" s="9"/>
      <c r="D47" s="21" t="s">
        <v>31</v>
      </c>
      <c r="E47" s="22"/>
      <c r="F47" s="22"/>
      <c r="G47" s="22"/>
      <c r="H47" s="22"/>
      <c r="I47" s="23"/>
      <c r="J47" s="20" t="s">
        <v>21</v>
      </c>
      <c r="K47" s="20" t="s">
        <v>21</v>
      </c>
      <c r="L47" s="20" t="s">
        <v>21</v>
      </c>
      <c r="M47" s="20" t="s">
        <v>21</v>
      </c>
      <c r="N47" s="20" t="s">
        <v>21</v>
      </c>
      <c r="O47" s="20" t="s">
        <v>21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x14ac:dyDescent="0.2">
      <c r="A48" s="8"/>
      <c r="B48" s="8"/>
      <c r="C48" s="9"/>
      <c r="D48" s="21" t="s">
        <v>32</v>
      </c>
      <c r="E48" s="22"/>
      <c r="F48" s="22"/>
      <c r="G48" s="22"/>
      <c r="H48" s="22"/>
      <c r="I48" s="23"/>
      <c r="J48" s="20" t="s">
        <v>21</v>
      </c>
      <c r="K48" s="20" t="s">
        <v>19</v>
      </c>
      <c r="L48" s="20" t="s">
        <v>19</v>
      </c>
      <c r="M48" s="20" t="s">
        <v>21</v>
      </c>
      <c r="N48" s="20" t="s">
        <v>21</v>
      </c>
      <c r="O48" s="20" t="s">
        <v>21</v>
      </c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8"/>
      <c r="B50" s="8" t="s">
        <v>33</v>
      </c>
      <c r="C50" s="9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</row>
    <row r="51" spans="1:57" x14ac:dyDescent="0.2">
      <c r="A51" s="8"/>
      <c r="B51" s="8"/>
      <c r="C51" s="9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</row>
    <row r="52" spans="1:57" x14ac:dyDescent="0.2">
      <c r="A52" s="8"/>
      <c r="B52" s="8"/>
      <c r="C52" s="9" t="s">
        <v>27</v>
      </c>
      <c r="D52" s="10"/>
      <c r="E52" s="10"/>
      <c r="F52" s="10"/>
      <c r="G52" s="10"/>
      <c r="H52" s="10"/>
      <c r="I52" s="10"/>
      <c r="J52" s="10" t="str">
        <f>J43</f>
        <v>PoF</v>
      </c>
      <c r="K52" s="10" t="str">
        <f t="shared" ref="K52:O52" si="4">K43</f>
        <v>Capex</v>
      </c>
      <c r="L52" s="10" t="str">
        <f t="shared" si="4"/>
        <v>Opex</v>
      </c>
      <c r="M52" s="10" t="str">
        <f t="shared" si="4"/>
        <v>Demand</v>
      </c>
      <c r="N52" s="10" t="str">
        <f t="shared" si="4"/>
        <v>VCR</v>
      </c>
      <c r="O52" s="10" t="str">
        <f t="shared" si="4"/>
        <v>Environment</v>
      </c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</row>
    <row r="53" spans="1:57" x14ac:dyDescent="0.2">
      <c r="A53" s="8"/>
      <c r="B53" s="8"/>
      <c r="C53" s="9"/>
      <c r="D53" s="10" t="str">
        <f>D44</f>
        <v>Base case</v>
      </c>
      <c r="E53" s="10"/>
      <c r="F53" s="10"/>
      <c r="G53" s="10"/>
      <c r="H53" s="10"/>
      <c r="I53" s="10"/>
      <c r="J53" s="24">
        <v>1</v>
      </c>
      <c r="K53" s="24">
        <v>1</v>
      </c>
      <c r="L53" s="24">
        <v>1</v>
      </c>
      <c r="M53" s="24">
        <v>1</v>
      </c>
      <c r="N53" s="24">
        <v>1</v>
      </c>
      <c r="O53" s="24">
        <v>1</v>
      </c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</row>
    <row r="54" spans="1:57" x14ac:dyDescent="0.2">
      <c r="A54" s="8"/>
      <c r="B54" s="8"/>
      <c r="C54" s="9"/>
      <c r="D54" s="10" t="str">
        <f t="shared" ref="D54:D57" si="5">D45</f>
        <v>A</v>
      </c>
      <c r="E54" s="10"/>
      <c r="F54" s="10"/>
      <c r="G54" s="10"/>
      <c r="H54" s="10"/>
      <c r="I54" s="10"/>
      <c r="J54" s="27">
        <f t="shared" ref="J54:O57" si="6">J$53+INDEX($J$34:$L$39,MATCH(J$52,$D$34:$D$39,0),MATCH(J45,$J$33:$L$33,0))</f>
        <v>0.9</v>
      </c>
      <c r="K54" s="28">
        <f t="shared" si="6"/>
        <v>1.1000000000000001</v>
      </c>
      <c r="L54" s="28">
        <f t="shared" si="6"/>
        <v>1.1000000000000001</v>
      </c>
      <c r="M54" s="28">
        <f t="shared" si="6"/>
        <v>0.95</v>
      </c>
      <c r="N54" s="28">
        <f t="shared" si="6"/>
        <v>0.9</v>
      </c>
      <c r="O54" s="28">
        <f t="shared" si="6"/>
        <v>0.9</v>
      </c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</row>
    <row r="55" spans="1:57" x14ac:dyDescent="0.2">
      <c r="A55" s="8"/>
      <c r="B55" s="8"/>
      <c r="C55" s="9"/>
      <c r="D55" s="10" t="str">
        <f t="shared" si="5"/>
        <v>B</v>
      </c>
      <c r="E55" s="10"/>
      <c r="F55" s="10"/>
      <c r="G55" s="10"/>
      <c r="H55" s="10"/>
      <c r="I55" s="10"/>
      <c r="J55" s="28">
        <f t="shared" si="6"/>
        <v>0.9</v>
      </c>
      <c r="K55" s="28">
        <f t="shared" si="6"/>
        <v>0.9</v>
      </c>
      <c r="L55" s="28">
        <f t="shared" si="6"/>
        <v>0.9</v>
      </c>
      <c r="M55" s="28">
        <f t="shared" si="6"/>
        <v>0.95</v>
      </c>
      <c r="N55" s="28">
        <f t="shared" si="6"/>
        <v>0.9</v>
      </c>
      <c r="O55" s="28">
        <f t="shared" si="6"/>
        <v>0.9</v>
      </c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</row>
    <row r="56" spans="1:57" x14ac:dyDescent="0.2">
      <c r="A56" s="8"/>
      <c r="B56" s="8"/>
      <c r="C56" s="9"/>
      <c r="D56" s="10" t="str">
        <f t="shared" si="5"/>
        <v>C</v>
      </c>
      <c r="E56" s="10"/>
      <c r="F56" s="10"/>
      <c r="G56" s="10"/>
      <c r="H56" s="10"/>
      <c r="I56" s="10"/>
      <c r="J56" s="28">
        <f t="shared" si="6"/>
        <v>1.1000000000000001</v>
      </c>
      <c r="K56" s="28">
        <f t="shared" si="6"/>
        <v>1.1000000000000001</v>
      </c>
      <c r="L56" s="28">
        <f t="shared" si="6"/>
        <v>1.1000000000000001</v>
      </c>
      <c r="M56" s="28">
        <f t="shared" si="6"/>
        <v>1.05</v>
      </c>
      <c r="N56" s="28">
        <f t="shared" si="6"/>
        <v>1.1000000000000001</v>
      </c>
      <c r="O56" s="28">
        <f t="shared" si="6"/>
        <v>1.1000000000000001</v>
      </c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</row>
    <row r="57" spans="1:57" x14ac:dyDescent="0.2">
      <c r="A57" s="8"/>
      <c r="B57" s="8"/>
      <c r="C57" s="9"/>
      <c r="D57" s="29" t="str">
        <f t="shared" si="5"/>
        <v>D</v>
      </c>
      <c r="E57" s="29"/>
      <c r="F57" s="29"/>
      <c r="G57" s="29"/>
      <c r="H57" s="29"/>
      <c r="I57" s="29"/>
      <c r="J57" s="28">
        <f t="shared" si="6"/>
        <v>1.1000000000000001</v>
      </c>
      <c r="K57" s="28">
        <f t="shared" si="6"/>
        <v>0.9</v>
      </c>
      <c r="L57" s="28">
        <f t="shared" si="6"/>
        <v>0.9</v>
      </c>
      <c r="M57" s="28">
        <f t="shared" si="6"/>
        <v>1.05</v>
      </c>
      <c r="N57" s="28">
        <f t="shared" si="6"/>
        <v>1.1000000000000001</v>
      </c>
      <c r="O57" s="28">
        <f t="shared" si="6"/>
        <v>1.1000000000000001</v>
      </c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</row>
    <row r="58" spans="1:57" x14ac:dyDescent="0.2">
      <c r="A58" s="8"/>
      <c r="B58" s="8"/>
      <c r="C58" s="9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</row>
    <row r="59" spans="1:57" x14ac:dyDescent="0.2">
      <c r="A59" s="11" t="s">
        <v>34</v>
      </c>
      <c r="B59" s="11"/>
      <c r="C59" s="12"/>
      <c r="D59" s="13"/>
      <c r="E59" s="13"/>
      <c r="F59" s="13"/>
      <c r="G59" s="13"/>
      <c r="H59" s="13"/>
      <c r="I59" s="13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</row>
    <row r="60" spans="1:57" x14ac:dyDescent="0.2">
      <c r="A60" s="8"/>
      <c r="B60" s="8"/>
      <c r="C60" s="9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</row>
    <row r="61" spans="1:57" x14ac:dyDescent="0.2">
      <c r="A61" s="8"/>
      <c r="B61" s="8" t="s">
        <v>35</v>
      </c>
      <c r="C61" s="9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</row>
    <row r="62" spans="1:57" x14ac:dyDescent="0.2">
      <c r="A62" s="8"/>
      <c r="B62" s="8"/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</row>
    <row r="63" spans="1:57" x14ac:dyDescent="0.2">
      <c r="A63" s="8"/>
      <c r="B63" s="8"/>
      <c r="C63" s="9" t="s">
        <v>36</v>
      </c>
      <c r="D63" s="10"/>
      <c r="E63" s="10"/>
      <c r="F63" s="10"/>
      <c r="G63" s="10"/>
      <c r="H63" s="10"/>
      <c r="I63" s="10"/>
      <c r="J63" s="10" t="s">
        <v>37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</row>
    <row r="64" spans="1:57" x14ac:dyDescent="0.2">
      <c r="A64" s="8"/>
      <c r="B64" s="8"/>
      <c r="C64" s="9"/>
      <c r="D64" s="21" t="s">
        <v>38</v>
      </c>
      <c r="E64" s="22"/>
      <c r="F64" s="22"/>
      <c r="G64" s="22"/>
      <c r="H64" s="22"/>
      <c r="I64" s="23"/>
      <c r="J64" s="30">
        <v>1</v>
      </c>
      <c r="K64" s="10"/>
      <c r="L64" s="10"/>
      <c r="M64" s="10"/>
      <c r="N64" s="10"/>
      <c r="O64" s="15">
        <v>0.11854666165418797</v>
      </c>
      <c r="P64" s="15">
        <v>0.12694898916078992</v>
      </c>
      <c r="Q64" s="15">
        <v>0.1359961130391068</v>
      </c>
      <c r="R64" s="15">
        <v>0.14573944491218399</v>
      </c>
      <c r="S64" s="15">
        <v>0.15623459161626482</v>
      </c>
      <c r="T64" s="15">
        <v>0.16754170259074549</v>
      </c>
      <c r="U64" s="15">
        <v>0.17972584631057595</v>
      </c>
      <c r="V64" s="15">
        <v>0.19285741820448782</v>
      </c>
      <c r="W64" s="15">
        <v>0.2070125827088615</v>
      </c>
      <c r="X64" s="15">
        <v>0.22227375233095828</v>
      </c>
      <c r="Y64" s="15">
        <v>0.23873010683813314</v>
      </c>
      <c r="Z64" s="15">
        <v>0.25640483103955147</v>
      </c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</row>
    <row r="65" spans="1:57" x14ac:dyDescent="0.2">
      <c r="A65" s="8"/>
      <c r="B65" s="8"/>
      <c r="C65" s="9"/>
      <c r="D65" s="21" t="s">
        <v>39</v>
      </c>
      <c r="E65" s="22"/>
      <c r="F65" s="22"/>
      <c r="G65" s="22"/>
      <c r="H65" s="22"/>
      <c r="I65" s="23"/>
      <c r="J65" s="30">
        <v>2</v>
      </c>
      <c r="K65" s="10"/>
      <c r="L65" s="10"/>
      <c r="M65" s="10"/>
      <c r="N65" s="10"/>
      <c r="O65" s="15">
        <v>6.3734764330208578E-4</v>
      </c>
      <c r="P65" s="15">
        <v>6.8252144710102098E-4</v>
      </c>
      <c r="Q65" s="15">
        <v>7.3116189805971386E-4</v>
      </c>
      <c r="R65" s="15">
        <v>7.8354540275367727E-4</v>
      </c>
      <c r="S65" s="15">
        <v>8.3997092266809036E-4</v>
      </c>
      <c r="T65" s="15">
        <v>9.0076184188572848E-4</v>
      </c>
      <c r="U65" s="15">
        <v>9.6626799091707499E-4</v>
      </c>
      <c r="V65" s="15">
        <v>1.0368678398090742E-3</v>
      </c>
      <c r="W65" s="15">
        <v>1.1129708747788251E-3</v>
      </c>
      <c r="X65" s="15">
        <v>1.1950201738223562E-3</v>
      </c>
      <c r="Y65" s="15">
        <v>1.2834951980544792E-3</v>
      </c>
      <c r="Z65" s="15">
        <v>1.3785205969868359E-3</v>
      </c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</row>
    <row r="66" spans="1:57" x14ac:dyDescent="0.2">
      <c r="A66" s="8"/>
      <c r="B66" s="8"/>
      <c r="C66" s="9"/>
      <c r="D66" s="21" t="s">
        <v>40</v>
      </c>
      <c r="E66" s="22"/>
      <c r="F66" s="22"/>
      <c r="G66" s="22"/>
      <c r="H66" s="22"/>
      <c r="I66" s="23"/>
      <c r="J66" s="30">
        <v>3</v>
      </c>
      <c r="K66" s="29"/>
      <c r="L66" s="29"/>
      <c r="M66" s="29"/>
      <c r="N66" s="29"/>
      <c r="O66" s="15">
        <v>6.3734764330208578E-4</v>
      </c>
      <c r="P66" s="15">
        <v>6.8252144710102098E-4</v>
      </c>
      <c r="Q66" s="15">
        <v>7.3116189805971386E-4</v>
      </c>
      <c r="R66" s="15">
        <v>7.8354540275367727E-4</v>
      </c>
      <c r="S66" s="15">
        <v>8.3997092266809036E-4</v>
      </c>
      <c r="T66" s="15">
        <v>9.0076184188572848E-4</v>
      </c>
      <c r="U66" s="15">
        <v>9.6626799091707499E-4</v>
      </c>
      <c r="V66" s="15">
        <v>1.0368678398090742E-3</v>
      </c>
      <c r="W66" s="15">
        <v>1.1129708747788251E-3</v>
      </c>
      <c r="X66" s="15">
        <v>1.1950201738223562E-3</v>
      </c>
      <c r="Y66" s="15">
        <v>1.2834951980544792E-3</v>
      </c>
      <c r="Z66" s="15">
        <v>1.3785205969868359E-3</v>
      </c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</row>
    <row r="67" spans="1:57" x14ac:dyDescent="0.2">
      <c r="A67" s="8"/>
      <c r="B67" s="8"/>
      <c r="C67" s="9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</row>
    <row r="68" spans="1:57" x14ac:dyDescent="0.2">
      <c r="A68" s="8"/>
      <c r="B68" s="8" t="s">
        <v>41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</row>
    <row r="69" spans="1:57" x14ac:dyDescent="0.2">
      <c r="A69" s="8"/>
      <c r="B69" s="8"/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</row>
    <row r="70" spans="1:57" ht="38.25" x14ac:dyDescent="0.2">
      <c r="A70" s="8"/>
      <c r="B70" s="8"/>
      <c r="C70" s="9" t="s">
        <v>42</v>
      </c>
      <c r="D70" s="10"/>
      <c r="E70" s="10"/>
      <c r="F70" s="10"/>
      <c r="G70" s="10"/>
      <c r="H70" s="10"/>
      <c r="I70" s="10"/>
      <c r="J70" s="31" t="s">
        <v>43</v>
      </c>
      <c r="K70" s="31" t="s">
        <v>44</v>
      </c>
      <c r="L70" s="31" t="s">
        <v>45</v>
      </c>
      <c r="M70" s="31" t="s">
        <v>46</v>
      </c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</row>
    <row r="71" spans="1:57" x14ac:dyDescent="0.2">
      <c r="A71" s="8"/>
      <c r="B71" s="8"/>
      <c r="C71" s="9"/>
      <c r="D71" s="10" t="s">
        <v>47</v>
      </c>
      <c r="E71" s="10"/>
      <c r="F71" s="10"/>
      <c r="G71" s="10"/>
      <c r="H71" s="10"/>
      <c r="I71" s="10"/>
      <c r="J71" s="18">
        <v>44487</v>
      </c>
      <c r="K71" s="18">
        <v>26450</v>
      </c>
      <c r="L71" s="15">
        <v>0.2</v>
      </c>
      <c r="M71" s="19">
        <f>K71*J71/$J$75*L71*$W$17</f>
        <v>1927.4603711934096</v>
      </c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</row>
    <row r="72" spans="1:57" x14ac:dyDescent="0.2">
      <c r="A72" s="8"/>
      <c r="B72" s="8"/>
      <c r="C72" s="9"/>
      <c r="D72" s="10" t="s">
        <v>48</v>
      </c>
      <c r="E72" s="10"/>
      <c r="F72" s="10"/>
      <c r="G72" s="10"/>
      <c r="H72" s="10"/>
      <c r="I72" s="10"/>
      <c r="J72" s="18">
        <v>0</v>
      </c>
      <c r="K72" s="18">
        <v>50930</v>
      </c>
      <c r="L72" s="15">
        <v>0.15</v>
      </c>
      <c r="M72" s="19">
        <f>K72*J72/$J$75*L72*$W$17</f>
        <v>0</v>
      </c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</row>
    <row r="73" spans="1:57" x14ac:dyDescent="0.2">
      <c r="A73" s="8"/>
      <c r="B73" s="8"/>
      <c r="C73" s="9"/>
      <c r="D73" s="10" t="s">
        <v>49</v>
      </c>
      <c r="E73" s="10"/>
      <c r="F73" s="10"/>
      <c r="G73" s="10"/>
      <c r="H73" s="10"/>
      <c r="I73" s="10"/>
      <c r="J73" s="18">
        <v>74037</v>
      </c>
      <c r="K73" s="18">
        <v>47770</v>
      </c>
      <c r="L73" s="15">
        <v>0.4</v>
      </c>
      <c r="M73" s="19">
        <f>K73*J73/$J$75*L73*$W$17</f>
        <v>11586.725307688936</v>
      </c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</row>
    <row r="74" spans="1:57" x14ac:dyDescent="0.2">
      <c r="A74" s="8"/>
      <c r="B74" s="8"/>
      <c r="C74" s="9"/>
      <c r="D74" s="29" t="s">
        <v>50</v>
      </c>
      <c r="E74" s="29"/>
      <c r="F74" s="29"/>
      <c r="G74" s="29"/>
      <c r="H74" s="29"/>
      <c r="I74" s="29"/>
      <c r="J74" s="18">
        <v>10627</v>
      </c>
      <c r="K74" s="18">
        <v>47070</v>
      </c>
      <c r="L74" s="15">
        <v>0.8</v>
      </c>
      <c r="M74" s="19">
        <f>K74*J74/$J$75*L74*$W$17</f>
        <v>3277.4911797818067</v>
      </c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</row>
    <row r="75" spans="1:57" x14ac:dyDescent="0.2">
      <c r="A75" s="8"/>
      <c r="B75" s="8"/>
      <c r="C75" s="9"/>
      <c r="D75" s="10" t="s">
        <v>51</v>
      </c>
      <c r="E75" s="10"/>
      <c r="F75" s="10"/>
      <c r="G75" s="10"/>
      <c r="H75" s="10"/>
      <c r="I75" s="10"/>
      <c r="J75" s="32">
        <f>SUM(J71:J74)</f>
        <v>129151</v>
      </c>
      <c r="K75" s="32">
        <f>SUMPRODUCT(J71:J74,K71:K74)/J75</f>
        <v>40368.572678492616</v>
      </c>
      <c r="L75" s="33">
        <f>M75/(K75*$W$17)</f>
        <v>0.39323868474708884</v>
      </c>
      <c r="M75" s="34">
        <f>SUMPRODUCT(J71:J74,K71:K74,L71:L74)/J75*W17</f>
        <v>16791.676858664148</v>
      </c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</row>
    <row r="76" spans="1:57" x14ac:dyDescent="0.2">
      <c r="A76" s="8"/>
      <c r="B76" s="8"/>
      <c r="C76" s="9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</row>
    <row r="77" spans="1:57" x14ac:dyDescent="0.2">
      <c r="A77" s="8"/>
      <c r="B77" s="8" t="s">
        <v>52</v>
      </c>
      <c r="C77" s="9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</row>
    <row r="78" spans="1:57" x14ac:dyDescent="0.2">
      <c r="A78" s="8"/>
      <c r="B78" s="8"/>
      <c r="C78" s="9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</row>
    <row r="79" spans="1:57" x14ac:dyDescent="0.2">
      <c r="A79" s="8"/>
      <c r="B79" s="8"/>
      <c r="C79" s="9" t="s">
        <v>53</v>
      </c>
      <c r="D79" s="10"/>
      <c r="E79" s="10"/>
      <c r="F79" s="10"/>
      <c r="G79" s="10"/>
      <c r="H79" s="10"/>
      <c r="I79" s="10"/>
      <c r="J79" s="14">
        <v>3</v>
      </c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</row>
    <row r="80" spans="1:57" x14ac:dyDescent="0.2">
      <c r="A80" s="8"/>
      <c r="B80" s="8"/>
      <c r="C80" s="9" t="s">
        <v>54</v>
      </c>
      <c r="D80" s="10"/>
      <c r="E80" s="10"/>
      <c r="F80" s="10"/>
      <c r="G80" s="10"/>
      <c r="H80" s="10"/>
      <c r="I80" s="10"/>
      <c r="J80" s="18">
        <v>97.1</v>
      </c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</row>
    <row r="81" spans="1:57" x14ac:dyDescent="0.2">
      <c r="A81" s="8"/>
      <c r="B81" s="8"/>
      <c r="C81" s="9"/>
      <c r="D81" s="10" t="s">
        <v>55</v>
      </c>
      <c r="E81" s="10"/>
      <c r="F81" s="10"/>
      <c r="G81" s="10"/>
      <c r="H81" s="10"/>
      <c r="I81" s="10"/>
      <c r="J81" s="18">
        <v>65.2</v>
      </c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</row>
    <row r="82" spans="1:57" x14ac:dyDescent="0.2">
      <c r="A82" s="8"/>
      <c r="B82" s="8"/>
      <c r="C82" s="9"/>
      <c r="D82" s="10" t="s">
        <v>56</v>
      </c>
      <c r="E82" s="10"/>
      <c r="F82" s="10"/>
      <c r="G82" s="10"/>
      <c r="H82" s="10"/>
      <c r="I82" s="10"/>
      <c r="J82" s="18">
        <v>32.200000000000003</v>
      </c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</row>
    <row r="83" spans="1:57" x14ac:dyDescent="0.2">
      <c r="A83" s="8"/>
      <c r="B83" s="8"/>
      <c r="C83" s="9"/>
      <c r="D83" s="10" t="s">
        <v>57</v>
      </c>
      <c r="E83" s="10"/>
      <c r="F83" s="10"/>
      <c r="G83" s="10"/>
      <c r="H83" s="10"/>
      <c r="I83" s="10"/>
      <c r="J83" s="18">
        <v>0</v>
      </c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</row>
    <row r="84" spans="1:57" x14ac:dyDescent="0.2">
      <c r="A84" s="8"/>
      <c r="B84" s="8"/>
      <c r="C84" s="9"/>
      <c r="D84" s="10" t="s">
        <v>58</v>
      </c>
      <c r="E84" s="10"/>
      <c r="F84" s="10"/>
      <c r="G84" s="10"/>
      <c r="H84" s="10"/>
      <c r="I84" s="10"/>
      <c r="J84" s="18">
        <v>0</v>
      </c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</row>
    <row r="85" spans="1:57" x14ac:dyDescent="0.2">
      <c r="A85" s="8"/>
      <c r="B85" s="8"/>
      <c r="C85" s="9"/>
      <c r="D85" s="29" t="s">
        <v>59</v>
      </c>
      <c r="E85" s="29"/>
      <c r="F85" s="29"/>
      <c r="G85" s="29"/>
      <c r="H85" s="29"/>
      <c r="I85" s="29"/>
      <c r="J85" s="18">
        <v>0</v>
      </c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</row>
    <row r="86" spans="1:57" x14ac:dyDescent="0.2">
      <c r="A86" s="8"/>
      <c r="B86" s="8"/>
      <c r="C86" s="9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</row>
    <row r="87" spans="1:57" x14ac:dyDescent="0.2">
      <c r="A87" s="11" t="s">
        <v>60</v>
      </c>
      <c r="B87" s="11"/>
      <c r="C87" s="12"/>
      <c r="D87" s="13"/>
      <c r="E87" s="13"/>
      <c r="F87" s="13"/>
      <c r="G87" s="13"/>
      <c r="H87" s="13"/>
      <c r="I87" s="13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</row>
    <row r="88" spans="1:57" x14ac:dyDescent="0.2">
      <c r="A88" s="8"/>
      <c r="B88" s="8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</row>
    <row r="89" spans="1:57" x14ac:dyDescent="0.2">
      <c r="A89" s="8"/>
      <c r="B89" s="8" t="s">
        <v>61</v>
      </c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</row>
    <row r="90" spans="1:57" x14ac:dyDescent="0.2">
      <c r="A90" s="8"/>
      <c r="B90" s="8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</row>
    <row r="91" spans="1:57" x14ac:dyDescent="0.2">
      <c r="A91" s="8"/>
      <c r="B91" s="8"/>
      <c r="C91" s="9" t="s">
        <v>62</v>
      </c>
      <c r="D91" s="10"/>
      <c r="E91" s="10"/>
      <c r="F91" s="10"/>
      <c r="G91" s="10"/>
      <c r="H91" s="10"/>
      <c r="I91" s="10"/>
      <c r="J91" s="10" t="s">
        <v>63</v>
      </c>
      <c r="K91" s="10" t="s">
        <v>64</v>
      </c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</row>
    <row r="92" spans="1:57" x14ac:dyDescent="0.2">
      <c r="A92" s="8"/>
      <c r="B92" s="8"/>
      <c r="C92" s="9"/>
      <c r="D92" s="10" t="s">
        <v>65</v>
      </c>
      <c r="E92" s="10"/>
      <c r="F92" s="10"/>
      <c r="G92" s="10"/>
      <c r="H92" s="10"/>
      <c r="I92" s="10"/>
      <c r="J92" s="18">
        <v>100</v>
      </c>
      <c r="K92" s="19">
        <f t="shared" ref="K92:K97" si="7">J92*HLOOKUP($J$10,$O$16:$Z$17,2,0)</f>
        <v>103.62477876106195</v>
      </c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</row>
    <row r="93" spans="1:57" x14ac:dyDescent="0.2">
      <c r="A93" s="8"/>
      <c r="B93" s="8"/>
      <c r="C93" s="9"/>
      <c r="D93" s="10" t="s">
        <v>66</v>
      </c>
      <c r="E93" s="10"/>
      <c r="F93" s="10"/>
      <c r="G93" s="10"/>
      <c r="H93" s="10"/>
      <c r="I93" s="10"/>
      <c r="J93" s="18">
        <v>598</v>
      </c>
      <c r="K93" s="19">
        <f t="shared" si="7"/>
        <v>619.67617699115044</v>
      </c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</row>
    <row r="94" spans="1:57" x14ac:dyDescent="0.2">
      <c r="A94" s="8"/>
      <c r="B94" s="8"/>
      <c r="C94" s="9"/>
      <c r="D94" s="10" t="s">
        <v>67</v>
      </c>
      <c r="E94" s="10"/>
      <c r="F94" s="10"/>
      <c r="G94" s="10"/>
      <c r="H94" s="10"/>
      <c r="I94" s="10"/>
      <c r="J94" s="18">
        <v>10000</v>
      </c>
      <c r="K94" s="19">
        <f t="shared" si="7"/>
        <v>10362.477876106195</v>
      </c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</row>
    <row r="95" spans="1:57" x14ac:dyDescent="0.2">
      <c r="A95" s="8"/>
      <c r="B95" s="8"/>
      <c r="C95" s="9"/>
      <c r="D95" s="10" t="s">
        <v>68</v>
      </c>
      <c r="E95" s="10"/>
      <c r="F95" s="10"/>
      <c r="G95" s="10"/>
      <c r="H95" s="10"/>
      <c r="I95" s="10"/>
      <c r="J95" s="18">
        <v>1000</v>
      </c>
      <c r="K95" s="19">
        <f t="shared" si="7"/>
        <v>1036.2477876106195</v>
      </c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</row>
    <row r="96" spans="1:57" x14ac:dyDescent="0.2">
      <c r="A96" s="8"/>
      <c r="B96" s="8"/>
      <c r="C96" s="9"/>
      <c r="D96" s="10" t="s">
        <v>69</v>
      </c>
      <c r="E96" s="10"/>
      <c r="F96" s="10"/>
      <c r="G96" s="10"/>
      <c r="H96" s="10"/>
      <c r="I96" s="10"/>
      <c r="J96" s="18">
        <v>400</v>
      </c>
      <c r="K96" s="19">
        <f t="shared" si="7"/>
        <v>414.49911504424779</v>
      </c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</row>
    <row r="97" spans="1:57" x14ac:dyDescent="0.2">
      <c r="A97" s="8"/>
      <c r="B97" s="8"/>
      <c r="C97" s="9"/>
      <c r="D97" s="29" t="s">
        <v>70</v>
      </c>
      <c r="E97" s="29"/>
      <c r="F97" s="29"/>
      <c r="G97" s="29"/>
      <c r="H97" s="29"/>
      <c r="I97" s="29"/>
      <c r="J97" s="18">
        <v>50000</v>
      </c>
      <c r="K97" s="19">
        <f t="shared" si="7"/>
        <v>51812.389380530978</v>
      </c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</row>
    <row r="98" spans="1:57" x14ac:dyDescent="0.2">
      <c r="A98" s="8"/>
      <c r="B98" s="8"/>
      <c r="C98" s="9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</row>
    <row r="99" spans="1:57" x14ac:dyDescent="0.2">
      <c r="A99" s="8"/>
      <c r="B99" s="8"/>
      <c r="C99" s="9" t="s">
        <v>71</v>
      </c>
      <c r="D99" s="10"/>
      <c r="E99" s="10"/>
      <c r="F99" s="10"/>
      <c r="G99" s="10"/>
      <c r="H99" s="10"/>
      <c r="I99" s="10"/>
      <c r="J99" s="35" t="str">
        <f>D64</f>
        <v>Significant</v>
      </c>
      <c r="K99" s="35" t="str">
        <f>D65</f>
        <v>Major</v>
      </c>
      <c r="L99" s="35" t="str">
        <f>D66</f>
        <v>Catastrophic</v>
      </c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</row>
    <row r="100" spans="1:57" x14ac:dyDescent="0.2">
      <c r="A100" s="8"/>
      <c r="B100" s="8"/>
      <c r="C100" s="9"/>
      <c r="D100" s="10" t="s">
        <v>72</v>
      </c>
      <c r="E100" s="10"/>
      <c r="F100" s="10"/>
      <c r="G100" s="10"/>
      <c r="H100" s="10"/>
      <c r="I100" s="10"/>
      <c r="J100" s="18">
        <v>500</v>
      </c>
      <c r="K100" s="18">
        <v>4050</v>
      </c>
      <c r="L100" s="19">
        <f>K100*$J$79</f>
        <v>12150</v>
      </c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</row>
    <row r="101" spans="1:57" x14ac:dyDescent="0.2">
      <c r="A101" s="8"/>
      <c r="B101" s="8"/>
      <c r="C101" s="9"/>
      <c r="D101" s="10" t="s">
        <v>73</v>
      </c>
      <c r="E101" s="10"/>
      <c r="F101" s="10"/>
      <c r="G101" s="10"/>
      <c r="H101" s="10"/>
      <c r="I101" s="10"/>
      <c r="J101" s="18">
        <v>0</v>
      </c>
      <c r="K101" s="18">
        <v>0</v>
      </c>
      <c r="L101" s="18">
        <v>0</v>
      </c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</row>
    <row r="102" spans="1:57" x14ac:dyDescent="0.2">
      <c r="A102" s="8"/>
      <c r="B102" s="8"/>
      <c r="C102" s="9"/>
      <c r="D102" s="10" t="s">
        <v>74</v>
      </c>
      <c r="E102" s="10"/>
      <c r="F102" s="10"/>
      <c r="G102" s="10"/>
      <c r="H102" s="10"/>
      <c r="I102" s="10"/>
      <c r="J102" s="18">
        <v>0.05</v>
      </c>
      <c r="K102" s="18">
        <v>2.5</v>
      </c>
      <c r="L102" s="18">
        <v>5</v>
      </c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</row>
    <row r="103" spans="1:57" x14ac:dyDescent="0.2">
      <c r="A103" s="8"/>
      <c r="B103" s="8"/>
      <c r="C103" s="9"/>
      <c r="D103" s="10" t="s">
        <v>75</v>
      </c>
      <c r="E103" s="10"/>
      <c r="F103" s="10"/>
      <c r="G103" s="10"/>
      <c r="H103" s="10"/>
      <c r="I103" s="10"/>
      <c r="J103" s="18">
        <v>10</v>
      </c>
      <c r="K103" s="18">
        <v>405</v>
      </c>
      <c r="L103" s="19">
        <f>K103*$J$79</f>
        <v>1215</v>
      </c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</row>
    <row r="104" spans="1:57" x14ac:dyDescent="0.2">
      <c r="A104" s="8"/>
      <c r="B104" s="8"/>
      <c r="C104" s="9"/>
      <c r="D104" s="29" t="s">
        <v>76</v>
      </c>
      <c r="E104" s="29"/>
      <c r="F104" s="29"/>
      <c r="G104" s="29"/>
      <c r="H104" s="29"/>
      <c r="I104" s="29"/>
      <c r="J104" s="18">
        <v>2</v>
      </c>
      <c r="K104" s="18">
        <v>3</v>
      </c>
      <c r="L104" s="18">
        <v>5</v>
      </c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</row>
    <row r="105" spans="1:57" x14ac:dyDescent="0.2">
      <c r="A105" s="8"/>
      <c r="B105" s="8"/>
      <c r="C105" s="9"/>
      <c r="D105" s="10" t="s">
        <v>77</v>
      </c>
      <c r="E105" s="10"/>
      <c r="F105" s="10"/>
      <c r="G105" s="10"/>
      <c r="H105" s="10"/>
      <c r="I105" s="10"/>
      <c r="J105" s="36">
        <f>SUMPRODUCT($K$94:$K$96,J102:J104)</f>
        <v>11709.6</v>
      </c>
      <c r="K105" s="36">
        <f t="shared" ref="K105:L105" si="8">SUMPRODUCT($K$94:$K$96,K102:K104)</f>
        <v>446830.04601769918</v>
      </c>
      <c r="L105" s="36">
        <f t="shared" si="8"/>
        <v>1312925.9469026548</v>
      </c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</row>
    <row r="106" spans="1:57" x14ac:dyDescent="0.2">
      <c r="A106" s="8"/>
      <c r="B106" s="8"/>
      <c r="C106" s="9"/>
      <c r="D106" s="10" t="s">
        <v>78</v>
      </c>
      <c r="E106" s="10"/>
      <c r="F106" s="10"/>
      <c r="G106" s="10"/>
      <c r="H106" s="10"/>
      <c r="I106" s="10"/>
      <c r="J106" s="19">
        <f>SUMPRODUCT($K$93:$K$96,J101:J104)</f>
        <v>11709.6</v>
      </c>
      <c r="K106" s="19">
        <f t="shared" ref="K106:L106" si="9">SUMPRODUCT($K$93:$K$96,K101:K104)</f>
        <v>446830.04601769918</v>
      </c>
      <c r="L106" s="19">
        <f t="shared" si="9"/>
        <v>1312925.9469026548</v>
      </c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</row>
    <row r="107" spans="1:57" x14ac:dyDescent="0.2">
      <c r="A107" s="8"/>
      <c r="B107" s="8"/>
      <c r="C107" s="9"/>
      <c r="D107" s="29" t="s">
        <v>79</v>
      </c>
      <c r="E107" s="29"/>
      <c r="F107" s="29"/>
      <c r="G107" s="29"/>
      <c r="H107" s="29"/>
      <c r="I107" s="29"/>
      <c r="J107" s="19">
        <f>SUMPRODUCT($K$92:$K$96,J100:J104)</f>
        <v>63521.989380530969</v>
      </c>
      <c r="K107" s="19">
        <f t="shared" ref="K107:L107" si="10">SUMPRODUCT($K$92:$K$96,K100:K104)</f>
        <v>866510.40000000014</v>
      </c>
      <c r="L107" s="19">
        <f t="shared" si="10"/>
        <v>2571967.0088495575</v>
      </c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</row>
    <row r="108" spans="1:57" x14ac:dyDescent="0.2">
      <c r="A108" s="8"/>
      <c r="B108" s="8"/>
      <c r="C108" s="9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</row>
    <row r="109" spans="1:57" x14ac:dyDescent="0.2">
      <c r="A109" s="11" t="s">
        <v>80</v>
      </c>
      <c r="B109" s="11"/>
      <c r="C109" s="12"/>
      <c r="D109" s="13"/>
      <c r="E109" s="13"/>
      <c r="F109" s="13"/>
      <c r="G109" s="13"/>
      <c r="H109" s="13"/>
      <c r="I109" s="13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</row>
    <row r="110" spans="1:57" x14ac:dyDescent="0.2">
      <c r="A110" s="8"/>
      <c r="B110" s="8"/>
      <c r="C110" s="9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</row>
    <row r="111" spans="1:57" x14ac:dyDescent="0.2">
      <c r="A111" s="8"/>
      <c r="B111" s="8" t="s">
        <v>81</v>
      </c>
      <c r="C111" s="9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</row>
    <row r="112" spans="1:57" x14ac:dyDescent="0.2">
      <c r="A112" s="8"/>
      <c r="B112" s="8"/>
      <c r="C112" s="9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</row>
    <row r="113" spans="1:57" x14ac:dyDescent="0.2">
      <c r="A113" s="8"/>
      <c r="B113" s="8"/>
      <c r="C113" s="9" t="s">
        <v>82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</row>
    <row r="114" spans="1:57" x14ac:dyDescent="0.2">
      <c r="A114" s="8"/>
      <c r="B114" s="8"/>
      <c r="C114" s="9"/>
      <c r="D114" s="10" t="s">
        <v>83</v>
      </c>
      <c r="E114" s="10"/>
      <c r="F114" s="10"/>
      <c r="G114" s="10"/>
      <c r="H114" s="10"/>
      <c r="I114" s="10"/>
      <c r="J114" s="18">
        <v>1</v>
      </c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</row>
    <row r="115" spans="1:57" x14ac:dyDescent="0.2">
      <c r="A115" s="8"/>
      <c r="B115" s="8"/>
      <c r="C115" s="9"/>
      <c r="D115" s="10" t="s">
        <v>84</v>
      </c>
      <c r="E115" s="10"/>
      <c r="F115" s="10"/>
      <c r="G115" s="10"/>
      <c r="H115" s="10"/>
      <c r="I115" s="10"/>
      <c r="J115" s="18">
        <v>4</v>
      </c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</row>
    <row r="116" spans="1:57" x14ac:dyDescent="0.2">
      <c r="A116" s="8"/>
      <c r="B116" s="8"/>
      <c r="C116" s="9"/>
      <c r="D116" s="10" t="s">
        <v>85</v>
      </c>
      <c r="E116" s="10"/>
      <c r="F116" s="10"/>
      <c r="G116" s="10"/>
      <c r="H116" s="10"/>
      <c r="I116" s="10"/>
      <c r="J116" s="18">
        <v>5</v>
      </c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</row>
    <row r="117" spans="1:57" x14ac:dyDescent="0.2">
      <c r="A117" s="8"/>
      <c r="B117" s="8"/>
      <c r="C117" s="9"/>
      <c r="D117" s="10" t="s">
        <v>86</v>
      </c>
      <c r="E117" s="10"/>
      <c r="F117" s="10"/>
      <c r="G117" s="10"/>
      <c r="H117" s="10"/>
      <c r="I117" s="10"/>
      <c r="J117" s="19">
        <f>ROUNDUP($J$115/$J$116,0)</f>
        <v>1</v>
      </c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</row>
    <row r="118" spans="1:57" x14ac:dyDescent="0.2">
      <c r="A118" s="8"/>
      <c r="B118" s="8"/>
      <c r="C118" s="9"/>
      <c r="D118" s="10" t="s">
        <v>87</v>
      </c>
      <c r="E118" s="10"/>
      <c r="F118" s="10"/>
      <c r="G118" s="10"/>
      <c r="H118" s="10"/>
      <c r="I118" s="10"/>
      <c r="J118" s="18">
        <v>3</v>
      </c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</row>
    <row r="119" spans="1:57" x14ac:dyDescent="0.2">
      <c r="A119" s="8"/>
      <c r="B119" s="8"/>
      <c r="C119" s="9"/>
      <c r="D119" s="10" t="s">
        <v>88</v>
      </c>
      <c r="E119" s="10"/>
      <c r="F119" s="10"/>
      <c r="G119" s="10"/>
      <c r="H119" s="10"/>
      <c r="I119" s="10"/>
      <c r="J119" s="18">
        <v>270</v>
      </c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</row>
    <row r="120" spans="1:57" x14ac:dyDescent="0.2">
      <c r="A120" s="8"/>
      <c r="B120" s="8"/>
      <c r="C120" s="9"/>
      <c r="D120" s="10" t="s">
        <v>89</v>
      </c>
      <c r="E120" s="10"/>
      <c r="F120" s="10"/>
      <c r="G120" s="10"/>
      <c r="H120" s="10"/>
      <c r="I120" s="10"/>
      <c r="J120" s="18">
        <v>7</v>
      </c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</row>
    <row r="121" spans="1:57" x14ac:dyDescent="0.2">
      <c r="A121" s="8"/>
      <c r="B121" s="8"/>
      <c r="C121" s="9"/>
      <c r="D121" s="10" t="s">
        <v>90</v>
      </c>
      <c r="E121" s="10"/>
      <c r="F121" s="10"/>
      <c r="G121" s="10"/>
      <c r="H121" s="10"/>
      <c r="I121" s="10"/>
      <c r="J121" s="18">
        <v>5</v>
      </c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</row>
    <row r="122" spans="1:57" x14ac:dyDescent="0.2">
      <c r="A122" s="8"/>
      <c r="B122" s="8"/>
      <c r="C122" s="9"/>
      <c r="D122" s="10" t="s">
        <v>91</v>
      </c>
      <c r="E122" s="10"/>
      <c r="F122" s="10"/>
      <c r="G122" s="10"/>
      <c r="H122" s="10"/>
      <c r="I122" s="10"/>
      <c r="J122" s="18">
        <v>16</v>
      </c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</row>
    <row r="123" spans="1:57" x14ac:dyDescent="0.2">
      <c r="A123" s="8"/>
      <c r="B123" s="8"/>
      <c r="C123" s="9"/>
      <c r="D123" s="29" t="s">
        <v>92</v>
      </c>
      <c r="E123" s="29"/>
      <c r="F123" s="29"/>
      <c r="G123" s="29"/>
      <c r="H123" s="29"/>
      <c r="I123" s="29"/>
      <c r="J123" s="18">
        <v>24</v>
      </c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</row>
    <row r="124" spans="1:57" x14ac:dyDescent="0.2">
      <c r="A124" s="8"/>
      <c r="B124" s="8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</row>
    <row r="125" spans="1:57" x14ac:dyDescent="0.2">
      <c r="A125" s="8"/>
      <c r="B125" s="8"/>
      <c r="C125" s="9" t="s">
        <v>93</v>
      </c>
      <c r="D125" s="10"/>
      <c r="E125" s="10"/>
      <c r="F125" s="10"/>
      <c r="G125" s="10"/>
      <c r="H125" s="10"/>
      <c r="I125" s="10"/>
      <c r="J125" s="37" t="str">
        <f>J99</f>
        <v>Significant</v>
      </c>
      <c r="K125" s="37" t="str">
        <f t="shared" ref="K125" si="11">K99</f>
        <v>Major</v>
      </c>
      <c r="L125" s="37" t="s">
        <v>192</v>
      </c>
      <c r="M125" s="37" t="str">
        <f>L99</f>
        <v>Catastrophic</v>
      </c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</row>
    <row r="126" spans="1:57" x14ac:dyDescent="0.2">
      <c r="A126" s="8"/>
      <c r="B126" s="8"/>
      <c r="C126" s="9"/>
      <c r="D126" s="29" t="s">
        <v>94</v>
      </c>
      <c r="E126" s="29"/>
      <c r="F126" s="29"/>
      <c r="G126" s="29"/>
      <c r="H126" s="29"/>
      <c r="I126" s="29"/>
      <c r="J126" s="18">
        <v>0</v>
      </c>
      <c r="K126" s="18">
        <v>0</v>
      </c>
      <c r="L126" s="18">
        <v>0</v>
      </c>
      <c r="M126" s="18">
        <v>0</v>
      </c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</row>
    <row r="127" spans="1:57" x14ac:dyDescent="0.2">
      <c r="A127" s="8"/>
      <c r="B127" s="8"/>
      <c r="C127" s="9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</row>
    <row r="128" spans="1:57" x14ac:dyDescent="0.2">
      <c r="A128" s="8"/>
      <c r="B128" s="8"/>
      <c r="C128" s="9"/>
      <c r="D128" s="10" t="s">
        <v>95</v>
      </c>
      <c r="E128" s="10"/>
      <c r="F128" s="10"/>
      <c r="G128" s="10"/>
      <c r="H128" s="10"/>
      <c r="I128" s="10"/>
      <c r="J128" s="18">
        <f>200/24/7</f>
        <v>1.1904761904761905</v>
      </c>
      <c r="K128" s="18">
        <v>6</v>
      </c>
      <c r="L128" s="18">
        <v>6</v>
      </c>
      <c r="M128" s="18">
        <v>12</v>
      </c>
      <c r="N128" s="32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</row>
    <row r="129" spans="1:57" x14ac:dyDescent="0.2">
      <c r="A129" s="8"/>
      <c r="B129" s="8"/>
      <c r="C129" s="9"/>
      <c r="D129" s="10" t="s">
        <v>96</v>
      </c>
      <c r="E129" s="10"/>
      <c r="F129" s="10"/>
      <c r="G129" s="10"/>
      <c r="H129" s="10"/>
      <c r="I129" s="10"/>
      <c r="J129" s="19">
        <f>AVERAGE(O193:Z193)</f>
        <v>0</v>
      </c>
      <c r="K129" s="19">
        <f>AVERAGE(O193:Z193)</f>
        <v>0</v>
      </c>
      <c r="L129" s="19">
        <f>AVERAGE(O194:Z194)</f>
        <v>18.561724999999996</v>
      </c>
      <c r="M129" s="19">
        <f>AVERAGE(O196:Z196)</f>
        <v>50.761724999999984</v>
      </c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</row>
    <row r="130" spans="1:57" x14ac:dyDescent="0.2">
      <c r="A130" s="8"/>
      <c r="B130" s="8"/>
      <c r="C130" s="9"/>
      <c r="D130" s="10" t="s">
        <v>97</v>
      </c>
      <c r="E130" s="10"/>
      <c r="F130" s="10"/>
      <c r="G130" s="10"/>
      <c r="H130" s="10"/>
      <c r="I130" s="10"/>
      <c r="J130" s="19">
        <f>ROUNDUP(J129/$J$114,0)</f>
        <v>0</v>
      </c>
      <c r="K130" s="19">
        <f t="shared" ref="K130" si="12">ROUNDUP(K129/$J$114,0)</f>
        <v>0</v>
      </c>
      <c r="L130" s="19">
        <f t="shared" ref="L130" si="13">ROUNDUP(L129/$J$114,0)</f>
        <v>19</v>
      </c>
      <c r="M130" s="19">
        <f>ROUNDUP(M129/$J$114,0)</f>
        <v>51</v>
      </c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</row>
    <row r="131" spans="1:57" x14ac:dyDescent="0.2">
      <c r="A131" s="8"/>
      <c r="B131" s="8"/>
      <c r="C131" s="9"/>
      <c r="D131" s="10" t="s">
        <v>98</v>
      </c>
      <c r="E131" s="10"/>
      <c r="F131" s="10"/>
      <c r="G131" s="10"/>
      <c r="H131" s="10"/>
      <c r="I131" s="10"/>
      <c r="J131" s="19">
        <f>ROUNDUP(J130/$J$115,0)</f>
        <v>0</v>
      </c>
      <c r="K131" s="19">
        <f>ROUNDUP(K130/$J$115,0)</f>
        <v>0</v>
      </c>
      <c r="L131" s="19">
        <f>ROUNDUP(L130/$J$115,0)</f>
        <v>5</v>
      </c>
      <c r="M131" s="19">
        <f>ROUNDUP(M130/$J$115,0)</f>
        <v>13</v>
      </c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</row>
    <row r="132" spans="1:57" x14ac:dyDescent="0.2">
      <c r="A132" s="8"/>
      <c r="B132" s="8"/>
      <c r="C132" s="9"/>
      <c r="D132" s="29" t="s">
        <v>99</v>
      </c>
      <c r="E132" s="29"/>
      <c r="F132" s="29"/>
      <c r="G132" s="29"/>
      <c r="H132" s="29"/>
      <c r="I132" s="29"/>
      <c r="J132" s="19">
        <f>ROUNDUP(J131/$J$118,0)</f>
        <v>0</v>
      </c>
      <c r="K132" s="19">
        <f t="shared" ref="K132" si="14">ROUNDUP(K131/$J$118,0)</f>
        <v>0</v>
      </c>
      <c r="L132" s="19">
        <f t="shared" ref="L132" si="15">ROUNDUP(L131/$J$118,0)</f>
        <v>2</v>
      </c>
      <c r="M132" s="19">
        <f>ROUNDUP(M131/$J$118,0)</f>
        <v>5</v>
      </c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</row>
    <row r="133" spans="1:57" x14ac:dyDescent="0.2">
      <c r="A133" s="8"/>
      <c r="B133" s="8"/>
      <c r="C133" s="9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</row>
    <row r="134" spans="1:57" x14ac:dyDescent="0.2">
      <c r="A134" s="8"/>
      <c r="B134" s="8"/>
      <c r="C134" s="9" t="s">
        <v>100</v>
      </c>
      <c r="D134" s="10"/>
      <c r="E134" s="10"/>
      <c r="F134" s="10"/>
      <c r="G134" s="10"/>
      <c r="H134" s="10"/>
      <c r="I134" s="10"/>
      <c r="J134" s="10" t="s">
        <v>63</v>
      </c>
      <c r="K134" s="10" t="s">
        <v>64</v>
      </c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</row>
    <row r="135" spans="1:57" x14ac:dyDescent="0.2">
      <c r="A135" s="8"/>
      <c r="B135" s="8"/>
      <c r="C135" s="9"/>
      <c r="D135" s="10" t="s">
        <v>101</v>
      </c>
      <c r="E135" s="10"/>
      <c r="F135" s="10"/>
      <c r="G135" s="10"/>
      <c r="H135" s="10"/>
      <c r="I135" s="10"/>
      <c r="J135" s="18">
        <v>7000</v>
      </c>
      <c r="K135" s="19">
        <f t="shared" ref="K135:K146" si="16">J135*HLOOKUP($J$10,$O$16:$Z$17,2,0)</f>
        <v>7253.7345132743367</v>
      </c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</row>
    <row r="136" spans="1:57" x14ac:dyDescent="0.2">
      <c r="A136" s="8"/>
      <c r="B136" s="8"/>
      <c r="C136" s="9"/>
      <c r="D136" s="10" t="s">
        <v>102</v>
      </c>
      <c r="E136" s="10"/>
      <c r="F136" s="10"/>
      <c r="G136" s="10"/>
      <c r="H136" s="10"/>
      <c r="I136" s="10"/>
      <c r="J136" s="18">
        <v>1.5</v>
      </c>
      <c r="K136" s="19">
        <f t="shared" si="16"/>
        <v>1.5543716814159292</v>
      </c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</row>
    <row r="137" spans="1:57" x14ac:dyDescent="0.2">
      <c r="A137" s="8"/>
      <c r="B137" s="8"/>
      <c r="C137" s="9"/>
      <c r="D137" s="10" t="s">
        <v>103</v>
      </c>
      <c r="E137" s="10"/>
      <c r="F137" s="10"/>
      <c r="G137" s="10"/>
      <c r="H137" s="10"/>
      <c r="I137" s="10"/>
      <c r="J137" s="18">
        <v>150</v>
      </c>
      <c r="K137" s="19">
        <f t="shared" si="16"/>
        <v>155.43716814159293</v>
      </c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</row>
    <row r="138" spans="1:57" x14ac:dyDescent="0.2">
      <c r="A138" s="8"/>
      <c r="B138" s="8"/>
      <c r="C138" s="9"/>
      <c r="D138" s="10" t="s">
        <v>104</v>
      </c>
      <c r="E138" s="10"/>
      <c r="F138" s="10"/>
      <c r="G138" s="10"/>
      <c r="H138" s="10"/>
      <c r="I138" s="10"/>
      <c r="J138" s="18">
        <v>10000</v>
      </c>
      <c r="K138" s="19">
        <f t="shared" si="16"/>
        <v>10362.477876106195</v>
      </c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</row>
    <row r="139" spans="1:57" x14ac:dyDescent="0.2">
      <c r="A139" s="8"/>
      <c r="B139" s="8"/>
      <c r="C139" s="9"/>
      <c r="D139" s="10" t="s">
        <v>105</v>
      </c>
      <c r="E139" s="10"/>
      <c r="F139" s="10"/>
      <c r="G139" s="10"/>
      <c r="H139" s="10"/>
      <c r="I139" s="10"/>
      <c r="J139" s="18">
        <v>7000</v>
      </c>
      <c r="K139" s="19">
        <f t="shared" si="16"/>
        <v>7253.7345132743367</v>
      </c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</row>
    <row r="140" spans="1:57" x14ac:dyDescent="0.2">
      <c r="A140" s="8"/>
      <c r="B140" s="8"/>
      <c r="C140" s="9"/>
      <c r="D140" s="10" t="s">
        <v>106</v>
      </c>
      <c r="E140" s="10"/>
      <c r="F140" s="10"/>
      <c r="G140" s="10"/>
      <c r="H140" s="10"/>
      <c r="I140" s="10"/>
      <c r="J140" s="18">
        <v>2000</v>
      </c>
      <c r="K140" s="19">
        <f t="shared" si="16"/>
        <v>2072.4955752212391</v>
      </c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</row>
    <row r="141" spans="1:57" x14ac:dyDescent="0.2">
      <c r="A141" s="8"/>
      <c r="B141" s="8"/>
      <c r="C141" s="9"/>
      <c r="D141" s="10" t="s">
        <v>107</v>
      </c>
      <c r="E141" s="10"/>
      <c r="F141" s="10"/>
      <c r="G141" s="10"/>
      <c r="H141" s="10"/>
      <c r="I141" s="10"/>
      <c r="J141" s="18">
        <v>3000</v>
      </c>
      <c r="K141" s="19">
        <f t="shared" si="16"/>
        <v>3108.7433628318586</v>
      </c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</row>
    <row r="142" spans="1:57" x14ac:dyDescent="0.2">
      <c r="A142" s="8"/>
      <c r="B142" s="8"/>
      <c r="C142" s="9"/>
      <c r="D142" s="10" t="s">
        <v>108</v>
      </c>
      <c r="E142" s="10"/>
      <c r="F142" s="10"/>
      <c r="G142" s="10"/>
      <c r="H142" s="10"/>
      <c r="I142" s="10"/>
      <c r="J142" s="18">
        <v>2000</v>
      </c>
      <c r="K142" s="19">
        <f t="shared" si="16"/>
        <v>2072.4955752212391</v>
      </c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</row>
    <row r="143" spans="1:57" x14ac:dyDescent="0.2">
      <c r="A143" s="8"/>
      <c r="B143" s="8"/>
      <c r="C143" s="9"/>
      <c r="D143" s="10" t="s">
        <v>109</v>
      </c>
      <c r="E143" s="10"/>
      <c r="F143" s="10"/>
      <c r="G143" s="10"/>
      <c r="H143" s="10"/>
      <c r="I143" s="10"/>
      <c r="J143" s="18">
        <v>2500</v>
      </c>
      <c r="K143" s="19">
        <f t="shared" si="16"/>
        <v>2590.6194690265488</v>
      </c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</row>
    <row r="144" spans="1:57" x14ac:dyDescent="0.2">
      <c r="A144" s="8"/>
      <c r="B144" s="8"/>
      <c r="C144" s="9"/>
      <c r="D144" s="10" t="s">
        <v>110</v>
      </c>
      <c r="E144" s="10"/>
      <c r="F144" s="10"/>
      <c r="G144" s="10"/>
      <c r="H144" s="10"/>
      <c r="I144" s="10"/>
      <c r="J144" s="18">
        <v>4000</v>
      </c>
      <c r="K144" s="19">
        <f t="shared" si="16"/>
        <v>4144.9911504424781</v>
      </c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</row>
    <row r="145" spans="1:57" x14ac:dyDescent="0.2">
      <c r="A145" s="8"/>
      <c r="B145" s="8"/>
      <c r="C145" s="9"/>
      <c r="D145" s="10" t="s">
        <v>111</v>
      </c>
      <c r="E145" s="10"/>
      <c r="F145" s="10"/>
      <c r="G145" s="10"/>
      <c r="H145" s="10"/>
      <c r="I145" s="10"/>
      <c r="J145" s="18">
        <v>2500</v>
      </c>
      <c r="K145" s="19">
        <f t="shared" si="16"/>
        <v>2590.6194690265488</v>
      </c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</row>
    <row r="146" spans="1:57" x14ac:dyDescent="0.2">
      <c r="A146" s="8"/>
      <c r="B146" s="8"/>
      <c r="C146" s="9"/>
      <c r="D146" s="29" t="s">
        <v>112</v>
      </c>
      <c r="E146" s="29"/>
      <c r="F146" s="29"/>
      <c r="G146" s="29"/>
      <c r="H146" s="29"/>
      <c r="I146" s="29"/>
      <c r="J146" s="18">
        <v>3000</v>
      </c>
      <c r="K146" s="19">
        <f t="shared" si="16"/>
        <v>3108.7433628318586</v>
      </c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</row>
    <row r="147" spans="1:57" x14ac:dyDescent="0.2">
      <c r="A147" s="8"/>
      <c r="B147" s="8"/>
      <c r="C147" s="9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</row>
    <row r="148" spans="1:57" x14ac:dyDescent="0.2">
      <c r="A148" s="8"/>
      <c r="B148" s="8"/>
      <c r="C148" s="9" t="s">
        <v>113</v>
      </c>
      <c r="D148" s="10"/>
      <c r="E148" s="10"/>
      <c r="F148" s="10"/>
      <c r="G148" s="10"/>
      <c r="H148" s="10"/>
      <c r="I148" s="10"/>
      <c r="J148" s="37" t="str">
        <f>J125</f>
        <v>Significant</v>
      </c>
      <c r="K148" s="37" t="str">
        <f>K125</f>
        <v>Major</v>
      </c>
      <c r="L148" s="37" t="str">
        <f>L125</f>
        <v>Coincidental</v>
      </c>
      <c r="M148" s="37" t="str">
        <f>M125</f>
        <v>Catastrophic</v>
      </c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</row>
    <row r="149" spans="1:57" x14ac:dyDescent="0.2">
      <c r="A149" s="8"/>
      <c r="B149" s="8"/>
      <c r="C149" s="9"/>
      <c r="D149" s="10" t="s">
        <v>114</v>
      </c>
      <c r="E149" s="10"/>
      <c r="F149" s="10"/>
      <c r="G149" s="10"/>
      <c r="H149" s="10"/>
      <c r="I149" s="10"/>
      <c r="J149" s="19">
        <f>IFERROR((J130*$K135)*(J128+(J132/J128)),0)</f>
        <v>0</v>
      </c>
      <c r="K149" s="19">
        <f>IFERROR((K130*$K135)*(K128+(K132/K128)),0)</f>
        <v>0</v>
      </c>
      <c r="L149" s="19">
        <f>IFERROR((L130*$K135)*(L128+(L132/L128)),0)</f>
        <v>872866.05309734517</v>
      </c>
      <c r="M149" s="19">
        <f>IFERROR((M130*$K135)*(M128+(M132/M128)),0)</f>
        <v>4593427.3805309739</v>
      </c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</row>
    <row r="150" spans="1:57" x14ac:dyDescent="0.2">
      <c r="A150" s="8"/>
      <c r="B150" s="8"/>
      <c r="C150" s="9"/>
      <c r="D150" s="10" t="s">
        <v>115</v>
      </c>
      <c r="E150" s="10"/>
      <c r="F150" s="10"/>
      <c r="G150" s="10"/>
      <c r="H150" s="10"/>
      <c r="I150" s="10"/>
      <c r="J150" s="19">
        <f>(J128*$J$120*$J$123)*(J129*$L$75*$J$119*$K136)</f>
        <v>0</v>
      </c>
      <c r="K150" s="19">
        <f>(K128*$J$120*$J$123)*(K129*$L$75*$J$119*$K136)</f>
        <v>0</v>
      </c>
      <c r="L150" s="19">
        <f>(L128*$J$120*$J$123)*(L129*$L$75*$J$119*$K136)</f>
        <v>3087832.5478091748</v>
      </c>
      <c r="M150" s="19">
        <f>(M128*$J$120*$J$123)*(M129*$L$75*$J$119*$K136)</f>
        <v>16888915.942665745</v>
      </c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</row>
    <row r="151" spans="1:57" x14ac:dyDescent="0.2">
      <c r="A151" s="8"/>
      <c r="B151" s="8"/>
      <c r="C151" s="9"/>
      <c r="D151" s="10" t="s">
        <v>116</v>
      </c>
      <c r="E151" s="10"/>
      <c r="F151" s="10"/>
      <c r="G151" s="10"/>
      <c r="H151" s="10"/>
      <c r="I151" s="10"/>
      <c r="J151" s="19">
        <f t="shared" ref="J151:K151" si="17">($K137*$J$122*$J$121*J131)
+($K137*J131*$J$123*J128*$J$120)</f>
        <v>0</v>
      </c>
      <c r="K151" s="19">
        <f t="shared" si="17"/>
        <v>0</v>
      </c>
      <c r="L151" s="19">
        <f t="shared" ref="L151" si="18">($K137*$J$122*$J$121*L131)
+($K137*L131*$J$123*L128*$J$120)</f>
        <v>845578.19469026569</v>
      </c>
      <c r="M151" s="19">
        <f>($K137*$J$122*$J$121*M131)
+($K137*M131*$J$123*M128*$J$120)</f>
        <v>4235351.957522125</v>
      </c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</row>
    <row r="152" spans="1:57" x14ac:dyDescent="0.2">
      <c r="A152" s="8"/>
      <c r="B152" s="8"/>
      <c r="C152" s="9"/>
      <c r="D152" s="10" t="s">
        <v>117</v>
      </c>
      <c r="E152" s="10"/>
      <c r="F152" s="10"/>
      <c r="G152" s="10"/>
      <c r="H152" s="10"/>
      <c r="I152" s="10"/>
      <c r="J152" s="19">
        <f>$K138*J128*$J$120*J131</f>
        <v>0</v>
      </c>
      <c r="K152" s="19">
        <f>$K138*K128*$J$120*K131</f>
        <v>0</v>
      </c>
      <c r="L152" s="19">
        <f>$K138*L128*$J$120*L131</f>
        <v>2176120.3539823005</v>
      </c>
      <c r="M152" s="19">
        <f>$K138*M128*$J$120*M131</f>
        <v>11315825.840707963</v>
      </c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</row>
    <row r="153" spans="1:57" x14ac:dyDescent="0.2">
      <c r="A153" s="8"/>
      <c r="B153" s="8"/>
      <c r="C153" s="9"/>
      <c r="D153" s="10" t="s">
        <v>118</v>
      </c>
      <c r="E153" s="10"/>
      <c r="F153" s="10"/>
      <c r="G153" s="10"/>
      <c r="H153" s="10"/>
      <c r="I153" s="10"/>
      <c r="J153" s="19">
        <f>IFERROR((J131*$J$117*$K139)*(J128+(J132/J128)),0)</f>
        <v>0</v>
      </c>
      <c r="K153" s="19">
        <f>IFERROR((K131*$J$117*$K139)*(K128+(K132/K128)),0)</f>
        <v>0</v>
      </c>
      <c r="L153" s="19">
        <f>IFERROR((L131*$J$117*$K139)*(L128+(L132/L128)),0)</f>
        <v>229701.59292035401</v>
      </c>
      <c r="M153" s="19">
        <f>IFERROR((M131*$J$117*$K139)*(M128+(M132/M128)),0)</f>
        <v>1170873.6460176993</v>
      </c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</row>
    <row r="154" spans="1:57" x14ac:dyDescent="0.2">
      <c r="A154" s="8"/>
      <c r="B154" s="8"/>
      <c r="C154" s="9"/>
      <c r="D154" s="10" t="s">
        <v>119</v>
      </c>
      <c r="E154" s="10"/>
      <c r="F154" s="10"/>
      <c r="G154" s="10"/>
      <c r="H154" s="10"/>
      <c r="I154" s="10"/>
      <c r="J154" s="19">
        <f>$K140*J131</f>
        <v>0</v>
      </c>
      <c r="K154" s="19">
        <f>$K140*K131</f>
        <v>0</v>
      </c>
      <c r="L154" s="19">
        <f>$K140*L131</f>
        <v>10362.477876106195</v>
      </c>
      <c r="M154" s="19">
        <f>$K140*M131</f>
        <v>26942.442477876109</v>
      </c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</row>
    <row r="155" spans="1:57" x14ac:dyDescent="0.2">
      <c r="A155" s="8"/>
      <c r="B155" s="8"/>
      <c r="C155" s="9"/>
      <c r="D155" s="10" t="s">
        <v>120</v>
      </c>
      <c r="E155" s="10"/>
      <c r="F155" s="10"/>
      <c r="G155" s="10"/>
      <c r="H155" s="10"/>
      <c r="I155" s="10"/>
      <c r="J155" s="19">
        <f>$K141*J128*J131</f>
        <v>0</v>
      </c>
      <c r="K155" s="19">
        <f>$K141*K128*K131</f>
        <v>0</v>
      </c>
      <c r="L155" s="19">
        <f>$K141*L128*L131</f>
        <v>93262.300884955766</v>
      </c>
      <c r="M155" s="19">
        <f>$K141*M128*M131</f>
        <v>484963.96460176999</v>
      </c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</row>
    <row r="156" spans="1:57" x14ac:dyDescent="0.2">
      <c r="A156" s="8"/>
      <c r="B156" s="8"/>
      <c r="C156" s="9"/>
      <c r="D156" s="10" t="s">
        <v>121</v>
      </c>
      <c r="E156" s="10"/>
      <c r="F156" s="10"/>
      <c r="G156" s="10"/>
      <c r="H156" s="10"/>
      <c r="I156" s="10"/>
      <c r="J156" s="19">
        <f>$K142*J131</f>
        <v>0</v>
      </c>
      <c r="K156" s="19">
        <f>$K142*K131</f>
        <v>0</v>
      </c>
      <c r="L156" s="19">
        <f>$K142*L131</f>
        <v>10362.477876106195</v>
      </c>
      <c r="M156" s="19">
        <f>$K142*M131</f>
        <v>26942.442477876109</v>
      </c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</row>
    <row r="157" spans="1:57" x14ac:dyDescent="0.2">
      <c r="A157" s="8"/>
      <c r="B157" s="8"/>
      <c r="C157" s="9"/>
      <c r="D157" s="10" t="s">
        <v>122</v>
      </c>
      <c r="E157" s="10"/>
      <c r="F157" s="10"/>
      <c r="G157" s="10"/>
      <c r="H157" s="10"/>
      <c r="I157" s="10"/>
      <c r="J157" s="19">
        <f>$K143*J131</f>
        <v>0</v>
      </c>
      <c r="K157" s="19">
        <f>$K143*K131</f>
        <v>0</v>
      </c>
      <c r="L157" s="19">
        <f>$K143*L131</f>
        <v>12953.097345132745</v>
      </c>
      <c r="M157" s="19">
        <f>$K143*M131</f>
        <v>33678.053097345131</v>
      </c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</row>
    <row r="158" spans="1:57" x14ac:dyDescent="0.2">
      <c r="A158" s="8"/>
      <c r="B158" s="8"/>
      <c r="C158" s="9"/>
      <c r="D158" s="10" t="s">
        <v>123</v>
      </c>
      <c r="E158" s="10"/>
      <c r="F158" s="10"/>
      <c r="G158" s="10"/>
      <c r="H158" s="10"/>
      <c r="I158" s="10"/>
      <c r="J158" s="19">
        <f>$K144*J131</f>
        <v>0</v>
      </c>
      <c r="K158" s="19">
        <f>$K144*K131</f>
        <v>0</v>
      </c>
      <c r="L158" s="19">
        <f>$K144*L131</f>
        <v>20724.955752212391</v>
      </c>
      <c r="M158" s="19">
        <f>$K144*M131</f>
        <v>53884.884955752219</v>
      </c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</row>
    <row r="159" spans="1:57" x14ac:dyDescent="0.2">
      <c r="A159" s="8"/>
      <c r="B159" s="8"/>
      <c r="C159" s="9"/>
      <c r="D159" s="10" t="s">
        <v>124</v>
      </c>
      <c r="E159" s="10"/>
      <c r="F159" s="10"/>
      <c r="G159" s="10"/>
      <c r="H159" s="10"/>
      <c r="I159" s="10"/>
      <c r="J159" s="19">
        <f>$K145*J131</f>
        <v>0</v>
      </c>
      <c r="K159" s="19">
        <f>$K145*K131</f>
        <v>0</v>
      </c>
      <c r="L159" s="19">
        <f>$K145*L131</f>
        <v>12953.097345132745</v>
      </c>
      <c r="M159" s="19">
        <f>$K145*M131</f>
        <v>33678.053097345131</v>
      </c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</row>
    <row r="160" spans="1:57" x14ac:dyDescent="0.2">
      <c r="A160" s="8"/>
      <c r="B160" s="8"/>
      <c r="C160" s="9"/>
      <c r="D160" s="29" t="s">
        <v>125</v>
      </c>
      <c r="E160" s="29"/>
      <c r="F160" s="29"/>
      <c r="G160" s="29"/>
      <c r="H160" s="29"/>
      <c r="I160" s="29"/>
      <c r="J160" s="19">
        <f>$K146*J131</f>
        <v>0</v>
      </c>
      <c r="K160" s="19">
        <f>$K146*K131</f>
        <v>0</v>
      </c>
      <c r="L160" s="19">
        <f>$K146*L131</f>
        <v>15543.716814159292</v>
      </c>
      <c r="M160" s="19">
        <f>$K146*M131</f>
        <v>40413.663716814161</v>
      </c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</row>
    <row r="161" spans="1:57" x14ac:dyDescent="0.2">
      <c r="A161" s="8"/>
      <c r="B161" s="8"/>
      <c r="C161" s="9"/>
      <c r="D161" s="10" t="s">
        <v>51</v>
      </c>
      <c r="E161" s="10"/>
      <c r="F161" s="10"/>
      <c r="G161" s="10"/>
      <c r="H161" s="10"/>
      <c r="I161" s="10"/>
      <c r="J161" s="19">
        <f>IF(OR(J126&gt;0,J128=0),0,SUM(J149:J160))</f>
        <v>0</v>
      </c>
      <c r="K161" s="17">
        <f t="shared" ref="K161" si="19">IF(OR(K126&gt;0,K128=0),0,SUM(K149:K160))</f>
        <v>0</v>
      </c>
      <c r="L161" s="17">
        <f t="shared" ref="L161" si="20">IF(OR(L126&gt;0,L128=0),0,SUM(L149:L160))</f>
        <v>7388260.8663932448</v>
      </c>
      <c r="M161" s="19">
        <f>IF(OR(M126&gt;0,M128=0),0,SUM(M149:M160))</f>
        <v>38904898.271869279</v>
      </c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</row>
    <row r="162" spans="1:57" x14ac:dyDescent="0.2">
      <c r="A162" s="8"/>
      <c r="B162" s="8"/>
      <c r="C162" s="9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</row>
    <row r="163" spans="1:57" x14ac:dyDescent="0.2">
      <c r="A163" s="11" t="s">
        <v>126</v>
      </c>
      <c r="B163" s="11"/>
      <c r="C163" s="12"/>
      <c r="D163" s="13"/>
      <c r="E163" s="13"/>
      <c r="F163" s="13"/>
      <c r="G163" s="13"/>
      <c r="H163" s="13"/>
      <c r="I163" s="13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</row>
    <row r="164" spans="1:57" x14ac:dyDescent="0.2">
      <c r="A164" s="8"/>
      <c r="B164" s="8"/>
      <c r="C164" s="9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</row>
    <row r="165" spans="1:57" x14ac:dyDescent="0.2">
      <c r="A165" s="8"/>
      <c r="B165" s="8" t="s">
        <v>127</v>
      </c>
      <c r="C165" s="9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</row>
    <row r="166" spans="1:57" x14ac:dyDescent="0.2">
      <c r="A166" s="8"/>
      <c r="B166" s="8"/>
      <c r="C166" s="9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</row>
    <row r="167" spans="1:57" ht="25.5" x14ac:dyDescent="0.2">
      <c r="A167" s="8"/>
      <c r="B167" s="8"/>
      <c r="C167" s="9" t="s">
        <v>128</v>
      </c>
      <c r="D167" s="10"/>
      <c r="E167" s="10"/>
      <c r="F167" s="10"/>
      <c r="G167" s="10"/>
      <c r="H167" s="10"/>
      <c r="I167" s="10"/>
      <c r="J167" s="31" t="s">
        <v>129</v>
      </c>
      <c r="K167" s="31" t="s">
        <v>130</v>
      </c>
      <c r="L167" s="31" t="s">
        <v>131</v>
      </c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</row>
    <row r="168" spans="1:57" x14ac:dyDescent="0.2">
      <c r="A168" s="8"/>
      <c r="B168" s="8"/>
      <c r="C168" s="9"/>
      <c r="D168" s="10" t="s">
        <v>132</v>
      </c>
      <c r="E168" s="10"/>
      <c r="F168" s="10"/>
      <c r="G168" s="10"/>
      <c r="H168" s="10"/>
      <c r="I168" s="10"/>
      <c r="J168" s="18">
        <v>127274.0425241358</v>
      </c>
      <c r="K168" s="18">
        <v>1</v>
      </c>
      <c r="L168" s="19">
        <f>J168*K168*$W$17</f>
        <v>134627.65386997478</v>
      </c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</row>
    <row r="169" spans="1:57" x14ac:dyDescent="0.2">
      <c r="A169" s="8"/>
      <c r="B169" s="8"/>
      <c r="C169" s="9"/>
      <c r="D169" s="10" t="s">
        <v>133</v>
      </c>
      <c r="E169" s="10"/>
      <c r="F169" s="10"/>
      <c r="G169" s="10"/>
      <c r="H169" s="10"/>
      <c r="I169" s="10"/>
      <c r="J169" s="18">
        <v>672376.88853124285</v>
      </c>
      <c r="K169" s="18">
        <v>2</v>
      </c>
      <c r="L169" s="19">
        <f t="shared" ref="L169:L170" si="21">J169*K169*$W$17</f>
        <v>1422450.6619594295</v>
      </c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</row>
    <row r="170" spans="1:57" x14ac:dyDescent="0.2">
      <c r="A170" s="8"/>
      <c r="B170" s="8"/>
      <c r="C170" s="9"/>
      <c r="D170" s="29" t="s">
        <v>134</v>
      </c>
      <c r="E170" s="29"/>
      <c r="F170" s="29"/>
      <c r="G170" s="29"/>
      <c r="H170" s="29"/>
      <c r="I170" s="29"/>
      <c r="J170" s="18">
        <v>4500000</v>
      </c>
      <c r="K170" s="18">
        <v>3</v>
      </c>
      <c r="L170" s="19">
        <f t="shared" si="21"/>
        <v>14280000.000000002</v>
      </c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</row>
    <row r="171" spans="1:57" x14ac:dyDescent="0.2">
      <c r="A171" s="8"/>
      <c r="B171" s="8"/>
      <c r="C171" s="9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</row>
    <row r="172" spans="1:57" x14ac:dyDescent="0.2">
      <c r="A172" s="8"/>
      <c r="B172" s="8"/>
      <c r="C172" s="9" t="s">
        <v>135</v>
      </c>
      <c r="D172" s="10"/>
      <c r="E172" s="10"/>
      <c r="F172" s="10"/>
      <c r="G172" s="10"/>
      <c r="H172" s="10"/>
      <c r="I172" s="10"/>
      <c r="J172" s="37" t="str">
        <f>J148</f>
        <v>Significant</v>
      </c>
      <c r="K172" s="37" t="str">
        <f t="shared" ref="K172" si="22">K148</f>
        <v>Major</v>
      </c>
      <c r="L172" s="37" t="str">
        <f>M148</f>
        <v>Catastrophic</v>
      </c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</row>
    <row r="173" spans="1:57" x14ac:dyDescent="0.2">
      <c r="A173" s="8"/>
      <c r="B173" s="8"/>
      <c r="C173" s="9"/>
      <c r="D173" s="10" t="str">
        <f>D168</f>
        <v>Minor</v>
      </c>
      <c r="E173" s="10"/>
      <c r="F173" s="10"/>
      <c r="G173" s="10"/>
      <c r="H173" s="10"/>
      <c r="I173" s="10"/>
      <c r="J173" s="24">
        <v>1.1723329425556858E-2</v>
      </c>
      <c r="K173" s="24">
        <v>4.1031652989448997E-2</v>
      </c>
      <c r="L173" s="28">
        <f>K173</f>
        <v>4.1031652989448997E-2</v>
      </c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</row>
    <row r="174" spans="1:57" x14ac:dyDescent="0.2">
      <c r="A174" s="8"/>
      <c r="B174" s="8"/>
      <c r="C174" s="9"/>
      <c r="D174" s="10" t="str">
        <f t="shared" ref="D174:D175" si="23">D169</f>
        <v>Serious</v>
      </c>
      <c r="E174" s="10"/>
      <c r="F174" s="10"/>
      <c r="G174" s="10"/>
      <c r="H174" s="10"/>
      <c r="I174" s="10"/>
      <c r="J174" s="24">
        <v>2.3446658851113715E-3</v>
      </c>
      <c r="K174" s="24">
        <v>8.2063305978897997E-3</v>
      </c>
      <c r="L174" s="28">
        <f t="shared" ref="L174:L175" si="24">K174</f>
        <v>8.2063305978897997E-3</v>
      </c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</row>
    <row r="175" spans="1:57" x14ac:dyDescent="0.2">
      <c r="A175" s="8"/>
      <c r="B175" s="8"/>
      <c r="C175" s="9"/>
      <c r="D175" s="29" t="str">
        <f t="shared" si="23"/>
        <v>Fataility</v>
      </c>
      <c r="E175" s="29"/>
      <c r="F175" s="29"/>
      <c r="G175" s="29"/>
      <c r="H175" s="29"/>
      <c r="I175" s="29"/>
      <c r="J175" s="24">
        <v>2.3446658851113716E-4</v>
      </c>
      <c r="K175" s="24">
        <v>8.2063305978897995E-4</v>
      </c>
      <c r="L175" s="28">
        <f t="shared" si="24"/>
        <v>8.2063305978897995E-4</v>
      </c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</row>
    <row r="176" spans="1:57" x14ac:dyDescent="0.2">
      <c r="A176" s="8"/>
      <c r="B176" s="8"/>
      <c r="C176" s="9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</row>
    <row r="177" spans="1:57" x14ac:dyDescent="0.2">
      <c r="A177" s="8"/>
      <c r="B177" s="8"/>
      <c r="C177" s="9"/>
      <c r="D177" s="10" t="s">
        <v>136</v>
      </c>
      <c r="E177" s="10"/>
      <c r="F177" s="10"/>
      <c r="G177" s="10"/>
      <c r="H177" s="10"/>
      <c r="I177" s="10"/>
      <c r="J177" s="19">
        <f>SUMPRODUCT($L$168:$L$170,J$173:J$175)</f>
        <v>8261.6387603969597</v>
      </c>
      <c r="K177" s="19">
        <f t="shared" ref="K177:L177" si="25">SUMPRODUCT($L$168:$L$170,K$173:K$175)</f>
        <v>28915.735661389357</v>
      </c>
      <c r="L177" s="19">
        <f t="shared" si="25"/>
        <v>28915.735661389357</v>
      </c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</row>
    <row r="178" spans="1:57" x14ac:dyDescent="0.2">
      <c r="A178" s="8"/>
      <c r="B178" s="8"/>
      <c r="C178" s="9"/>
      <c r="D178" s="29" t="s">
        <v>137</v>
      </c>
      <c r="E178" s="29"/>
      <c r="F178" s="29"/>
      <c r="G178" s="29"/>
      <c r="H178" s="29"/>
      <c r="I178" s="29"/>
      <c r="J178" s="38">
        <f>J177/SUM($L$168:$L$170)</f>
        <v>5.2166432441893803E-4</v>
      </c>
      <c r="K178" s="38">
        <f t="shared" ref="K178:L178" si="26">K177/SUM($L$168:$L$170)</f>
        <v>1.825825135466283E-3</v>
      </c>
      <c r="L178" s="38">
        <f t="shared" si="26"/>
        <v>1.825825135466283E-3</v>
      </c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</row>
    <row r="179" spans="1:57" x14ac:dyDescent="0.2">
      <c r="A179" s="8"/>
      <c r="B179" s="8"/>
      <c r="C179" s="9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</row>
    <row r="180" spans="1:57" x14ac:dyDescent="0.2">
      <c r="A180" s="11" t="s">
        <v>138</v>
      </c>
      <c r="B180" s="11"/>
      <c r="C180" s="12"/>
      <c r="D180" s="13"/>
      <c r="E180" s="13"/>
      <c r="F180" s="13"/>
      <c r="G180" s="13"/>
      <c r="H180" s="13"/>
      <c r="I180" s="13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</row>
    <row r="181" spans="1:57" x14ac:dyDescent="0.2">
      <c r="A181" s="8"/>
      <c r="B181" s="8"/>
      <c r="C181" s="9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</row>
    <row r="182" spans="1:57" x14ac:dyDescent="0.2">
      <c r="A182" s="8"/>
      <c r="B182" s="8" t="s">
        <v>139</v>
      </c>
      <c r="C182" s="9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</row>
    <row r="183" spans="1:57" x14ac:dyDescent="0.2">
      <c r="A183" s="8"/>
      <c r="B183" s="8"/>
      <c r="C183" s="9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</row>
    <row r="184" spans="1:57" x14ac:dyDescent="0.2">
      <c r="A184" s="8"/>
      <c r="B184" s="8"/>
      <c r="C184" s="9" t="s">
        <v>140</v>
      </c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</row>
    <row r="185" spans="1:57" x14ac:dyDescent="0.2">
      <c r="A185" s="8"/>
      <c r="B185" s="8"/>
      <c r="C185" s="9"/>
      <c r="D185" s="10" t="str">
        <f>TEXT(J185,"0%")&amp;" PoE forecast, MVA"</f>
        <v>10% PoE forecast, MVA</v>
      </c>
      <c r="E185" s="10"/>
      <c r="F185" s="10"/>
      <c r="G185" s="10"/>
      <c r="H185" s="10"/>
      <c r="I185" s="10"/>
      <c r="J185" s="39">
        <v>0.1</v>
      </c>
      <c r="K185" s="10"/>
      <c r="L185" s="10"/>
      <c r="M185" s="10"/>
      <c r="N185" s="10"/>
      <c r="O185" s="18">
        <v>50.598999999999997</v>
      </c>
      <c r="P185" s="18">
        <v>52.313000000000002</v>
      </c>
      <c r="Q185" s="18">
        <v>52.234000000000002</v>
      </c>
      <c r="R185" s="18">
        <v>52.235999999999997</v>
      </c>
      <c r="S185" s="18">
        <v>52.914999999999999</v>
      </c>
      <c r="T185" s="18">
        <v>53.262999999999998</v>
      </c>
      <c r="U185" s="18">
        <v>55.456000000000003</v>
      </c>
      <c r="V185" s="18">
        <v>55.456000000000003</v>
      </c>
      <c r="W185" s="18">
        <v>55.456000000000003</v>
      </c>
      <c r="X185" s="18">
        <v>55.456000000000003</v>
      </c>
      <c r="Y185" s="18">
        <v>55.456000000000003</v>
      </c>
      <c r="Z185" s="18">
        <v>55.456000000000003</v>
      </c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</row>
    <row r="186" spans="1:57" x14ac:dyDescent="0.2">
      <c r="A186" s="8"/>
      <c r="B186" s="8"/>
      <c r="C186" s="9"/>
      <c r="D186" s="29" t="str">
        <f>TEXT(J186,"0%")&amp;" PoE forecast, MVA"</f>
        <v>50% PoE forecast, MVA</v>
      </c>
      <c r="E186" s="29"/>
      <c r="F186" s="29"/>
      <c r="G186" s="29"/>
      <c r="H186" s="29"/>
      <c r="I186" s="29"/>
      <c r="J186" s="39">
        <v>0.5</v>
      </c>
      <c r="K186" s="29"/>
      <c r="L186" s="29"/>
      <c r="M186" s="29"/>
      <c r="N186" s="29"/>
      <c r="O186" s="18">
        <v>46.625</v>
      </c>
      <c r="P186" s="18">
        <v>48.399000000000001</v>
      </c>
      <c r="Q186" s="18">
        <v>48.405000000000001</v>
      </c>
      <c r="R186" s="18">
        <v>48.499000000000002</v>
      </c>
      <c r="S186" s="18">
        <v>48.771000000000001</v>
      </c>
      <c r="T186" s="18">
        <v>49.47</v>
      </c>
      <c r="U186" s="18">
        <v>50.508000000000003</v>
      </c>
      <c r="V186" s="18">
        <v>50.508000000000003</v>
      </c>
      <c r="W186" s="18">
        <v>50.508000000000003</v>
      </c>
      <c r="X186" s="18">
        <v>50.508000000000003</v>
      </c>
      <c r="Y186" s="18">
        <v>50.508000000000003</v>
      </c>
      <c r="Z186" s="18">
        <v>50.508000000000003</v>
      </c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</row>
    <row r="187" spans="1:57" x14ac:dyDescent="0.2">
      <c r="A187" s="8"/>
      <c r="B187" s="8"/>
      <c r="C187" s="9"/>
      <c r="D187" s="10" t="s">
        <v>195</v>
      </c>
      <c r="E187" s="10"/>
      <c r="F187" s="10"/>
      <c r="G187" s="10"/>
      <c r="H187" s="10"/>
      <c r="I187" s="10"/>
      <c r="J187" s="40">
        <v>0.7</v>
      </c>
      <c r="K187" s="10"/>
      <c r="L187" s="10"/>
      <c r="M187" s="10"/>
      <c r="N187" s="10"/>
      <c r="O187" s="19">
        <f>O185*(1-$J$187)
+O186*$J$187</f>
        <v>47.8172</v>
      </c>
      <c r="P187" s="19">
        <f t="shared" ref="P187:Z187" si="27">P185*(1-$J$187)
+P186*$J$187</f>
        <v>49.5732</v>
      </c>
      <c r="Q187" s="19">
        <f t="shared" si="27"/>
        <v>49.553699999999999</v>
      </c>
      <c r="R187" s="19">
        <f t="shared" si="27"/>
        <v>49.620100000000001</v>
      </c>
      <c r="S187" s="19">
        <f t="shared" si="27"/>
        <v>50.014200000000002</v>
      </c>
      <c r="T187" s="19">
        <f t="shared" si="27"/>
        <v>50.607900000000001</v>
      </c>
      <c r="U187" s="19">
        <f t="shared" si="27"/>
        <v>51.992400000000004</v>
      </c>
      <c r="V187" s="19">
        <f t="shared" si="27"/>
        <v>51.992400000000004</v>
      </c>
      <c r="W187" s="19">
        <f t="shared" si="27"/>
        <v>51.992400000000004</v>
      </c>
      <c r="X187" s="19">
        <f t="shared" si="27"/>
        <v>51.992400000000004</v>
      </c>
      <c r="Y187" s="19">
        <f t="shared" si="27"/>
        <v>51.992400000000004</v>
      </c>
      <c r="Z187" s="19">
        <f t="shared" si="27"/>
        <v>51.992400000000004</v>
      </c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</row>
    <row r="188" spans="1:57" x14ac:dyDescent="0.2">
      <c r="A188" s="8"/>
      <c r="B188" s="8"/>
      <c r="C188" s="9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</row>
    <row r="189" spans="1:57" x14ac:dyDescent="0.2">
      <c r="A189" s="8"/>
      <c r="B189" s="8" t="s">
        <v>141</v>
      </c>
      <c r="C189" s="9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</row>
    <row r="190" spans="1:57" x14ac:dyDescent="0.2">
      <c r="A190" s="8"/>
      <c r="B190" s="8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</row>
    <row r="191" spans="1:57" x14ac:dyDescent="0.2">
      <c r="A191" s="8"/>
      <c r="B191" s="8"/>
      <c r="C191" s="9" t="s">
        <v>147</v>
      </c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</row>
    <row r="192" spans="1:57" x14ac:dyDescent="0.2">
      <c r="A192" s="8"/>
      <c r="B192" s="8"/>
      <c r="C192" s="9"/>
      <c r="D192" s="10" t="s">
        <v>142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9">
        <f>MAX(0,O$187-$J$85-$J80)</f>
        <v>0</v>
      </c>
      <c r="P192" s="19">
        <f t="shared" ref="P192:Z192" si="28">MAX(0,P$187-$J$85-$J80)</f>
        <v>0</v>
      </c>
      <c r="Q192" s="19">
        <f t="shared" si="28"/>
        <v>0</v>
      </c>
      <c r="R192" s="19">
        <f t="shared" si="28"/>
        <v>0</v>
      </c>
      <c r="S192" s="19">
        <f t="shared" si="28"/>
        <v>0</v>
      </c>
      <c r="T192" s="19">
        <f t="shared" si="28"/>
        <v>0</v>
      </c>
      <c r="U192" s="19">
        <f t="shared" si="28"/>
        <v>0</v>
      </c>
      <c r="V192" s="19">
        <f t="shared" si="28"/>
        <v>0</v>
      </c>
      <c r="W192" s="19">
        <f t="shared" si="28"/>
        <v>0</v>
      </c>
      <c r="X192" s="19">
        <f t="shared" si="28"/>
        <v>0</v>
      </c>
      <c r="Y192" s="19">
        <f t="shared" si="28"/>
        <v>0</v>
      </c>
      <c r="Z192" s="19">
        <f t="shared" si="28"/>
        <v>0</v>
      </c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</row>
    <row r="193" spans="1:57" x14ac:dyDescent="0.2">
      <c r="A193" s="8"/>
      <c r="B193" s="8"/>
      <c r="C193" s="9"/>
      <c r="D193" s="10" t="s">
        <v>143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9">
        <f>MAX(0,O$187-$J$85-$J81)</f>
        <v>0</v>
      </c>
      <c r="P193" s="19">
        <f t="shared" ref="P193:Z193" si="29">MAX(0,P$187-$J$85-$J81)</f>
        <v>0</v>
      </c>
      <c r="Q193" s="19">
        <f t="shared" si="29"/>
        <v>0</v>
      </c>
      <c r="R193" s="19">
        <f t="shared" si="29"/>
        <v>0</v>
      </c>
      <c r="S193" s="19">
        <f t="shared" si="29"/>
        <v>0</v>
      </c>
      <c r="T193" s="19">
        <f t="shared" si="29"/>
        <v>0</v>
      </c>
      <c r="U193" s="19">
        <f t="shared" si="29"/>
        <v>0</v>
      </c>
      <c r="V193" s="19">
        <f t="shared" si="29"/>
        <v>0</v>
      </c>
      <c r="W193" s="19">
        <f t="shared" si="29"/>
        <v>0</v>
      </c>
      <c r="X193" s="19">
        <f t="shared" si="29"/>
        <v>0</v>
      </c>
      <c r="Y193" s="19">
        <f t="shared" si="29"/>
        <v>0</v>
      </c>
      <c r="Z193" s="19">
        <f t="shared" si="29"/>
        <v>0</v>
      </c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</row>
    <row r="194" spans="1:57" x14ac:dyDescent="0.2">
      <c r="A194" s="8"/>
      <c r="B194" s="8"/>
      <c r="C194" s="9"/>
      <c r="D194" s="10" t="s">
        <v>144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9">
        <f>MAX(0,O$187-$J$85-$J82)</f>
        <v>15.617199999999997</v>
      </c>
      <c r="P194" s="19">
        <f t="shared" ref="P194:Z194" si="30">MAX(0,P$187-$J$85-$J82)</f>
        <v>17.373199999999997</v>
      </c>
      <c r="Q194" s="19">
        <f t="shared" si="30"/>
        <v>17.353699999999996</v>
      </c>
      <c r="R194" s="19">
        <f t="shared" si="30"/>
        <v>17.420099999999998</v>
      </c>
      <c r="S194" s="19">
        <f t="shared" si="30"/>
        <v>17.8142</v>
      </c>
      <c r="T194" s="19">
        <f t="shared" si="30"/>
        <v>18.407899999999998</v>
      </c>
      <c r="U194" s="19">
        <f t="shared" si="30"/>
        <v>19.792400000000001</v>
      </c>
      <c r="V194" s="19">
        <f t="shared" si="30"/>
        <v>19.792400000000001</v>
      </c>
      <c r="W194" s="19">
        <f t="shared" si="30"/>
        <v>19.792400000000001</v>
      </c>
      <c r="X194" s="19">
        <f t="shared" si="30"/>
        <v>19.792400000000001</v>
      </c>
      <c r="Y194" s="19">
        <f t="shared" si="30"/>
        <v>19.792400000000001</v>
      </c>
      <c r="Z194" s="19">
        <f t="shared" si="30"/>
        <v>19.792400000000001</v>
      </c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</row>
    <row r="195" spans="1:57" x14ac:dyDescent="0.2">
      <c r="A195" s="8"/>
      <c r="B195" s="8"/>
      <c r="C195" s="9"/>
      <c r="D195" s="10" t="s">
        <v>145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9">
        <f>MAX(0,O$187-$J$85-$J83)</f>
        <v>47.8172</v>
      </c>
      <c r="P195" s="19">
        <f t="shared" ref="P195:Z195" si="31">MAX(0,P$187-$J$85-$J83)</f>
        <v>49.5732</v>
      </c>
      <c r="Q195" s="19">
        <f t="shared" si="31"/>
        <v>49.553699999999999</v>
      </c>
      <c r="R195" s="19">
        <f t="shared" si="31"/>
        <v>49.620100000000001</v>
      </c>
      <c r="S195" s="19">
        <f t="shared" si="31"/>
        <v>50.014200000000002</v>
      </c>
      <c r="T195" s="19">
        <f t="shared" si="31"/>
        <v>50.607900000000001</v>
      </c>
      <c r="U195" s="19">
        <f t="shared" si="31"/>
        <v>51.992400000000004</v>
      </c>
      <c r="V195" s="19">
        <f t="shared" si="31"/>
        <v>51.992400000000004</v>
      </c>
      <c r="W195" s="19">
        <f t="shared" si="31"/>
        <v>51.992400000000004</v>
      </c>
      <c r="X195" s="19">
        <f t="shared" si="31"/>
        <v>51.992400000000004</v>
      </c>
      <c r="Y195" s="19">
        <f t="shared" si="31"/>
        <v>51.992400000000004</v>
      </c>
      <c r="Z195" s="19">
        <f t="shared" si="31"/>
        <v>51.992400000000004</v>
      </c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</row>
    <row r="196" spans="1:57" x14ac:dyDescent="0.2">
      <c r="A196" s="8"/>
      <c r="B196" s="8"/>
      <c r="C196" s="9"/>
      <c r="D196" s="29" t="s">
        <v>146</v>
      </c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19">
        <f>MAX(0,O$187-$J$85-$J84)</f>
        <v>47.8172</v>
      </c>
      <c r="P196" s="19">
        <f t="shared" ref="P196:Z196" si="32">MAX(0,P$187-$J$85-$J84)</f>
        <v>49.5732</v>
      </c>
      <c r="Q196" s="19">
        <f t="shared" si="32"/>
        <v>49.553699999999999</v>
      </c>
      <c r="R196" s="19">
        <f t="shared" si="32"/>
        <v>49.620100000000001</v>
      </c>
      <c r="S196" s="19">
        <f t="shared" si="32"/>
        <v>50.014200000000002</v>
      </c>
      <c r="T196" s="19">
        <f t="shared" si="32"/>
        <v>50.607900000000001</v>
      </c>
      <c r="U196" s="19">
        <f t="shared" si="32"/>
        <v>51.992400000000004</v>
      </c>
      <c r="V196" s="19">
        <f t="shared" si="32"/>
        <v>51.992400000000004</v>
      </c>
      <c r="W196" s="19">
        <f t="shared" si="32"/>
        <v>51.992400000000004</v>
      </c>
      <c r="X196" s="19">
        <f t="shared" si="32"/>
        <v>51.992400000000004</v>
      </c>
      <c r="Y196" s="19">
        <f t="shared" si="32"/>
        <v>51.992400000000004</v>
      </c>
      <c r="Z196" s="19">
        <f t="shared" si="32"/>
        <v>51.992400000000004</v>
      </c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</row>
    <row r="197" spans="1:57" x14ac:dyDescent="0.2">
      <c r="A197" s="8"/>
      <c r="B197" s="8"/>
      <c r="C197" s="9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</row>
    <row r="198" spans="1:57" x14ac:dyDescent="0.2">
      <c r="A198" s="11" t="s">
        <v>148</v>
      </c>
      <c r="B198" s="11"/>
      <c r="C198" s="12"/>
      <c r="D198" s="13"/>
      <c r="E198" s="13"/>
      <c r="F198" s="13"/>
      <c r="G198" s="13"/>
      <c r="H198" s="13"/>
      <c r="I198" s="13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</row>
    <row r="199" spans="1:57" x14ac:dyDescent="0.2"/>
    <row r="200" spans="1:57" hidden="1" x14ac:dyDescent="0.2"/>
    <row r="201" spans="1:57" hidden="1" x14ac:dyDescent="0.2"/>
    <row r="202" spans="1:57" hidden="1" x14ac:dyDescent="0.2"/>
    <row r="203" spans="1:57" hidden="1" x14ac:dyDescent="0.2"/>
    <row r="204" spans="1:57" hidden="1" x14ac:dyDescent="0.2"/>
    <row r="205" spans="1:57" hidden="1" x14ac:dyDescent="0.2"/>
    <row r="206" spans="1:57" hidden="1" x14ac:dyDescent="0.2"/>
    <row r="207" spans="1:57" hidden="1" x14ac:dyDescent="0.2"/>
    <row r="208" spans="1:57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</sheetData>
  <dataValidations disablePrompts="1" count="1">
    <dataValidation type="list" allowBlank="1" showInputMessage="1" showErrorMessage="1" sqref="J44:O48">
      <formula1>$J$33:$L$33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65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North Richmond Transformer No.1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Base Case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Base case: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28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INDEX(Inputs!$D$52:$O$57,MATCH('Base Case'!$I$8,Inputs!$D$52:$D$57,0),MATCH('Base Case'!$D9,Inputs!$D$52:$O$52,0))</f>
        <v>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INDEX(Inputs!$D$52:$O$57,MATCH('Base Case'!$I$8,Inputs!$D$52:$D$57,0),MATCH('Base Case'!$D10,Inputs!$D$52:$O$52,0))</f>
        <v>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INDEX(Inputs!$D$52:$O$57,MATCH('Base Case'!$I$8,Inputs!$D$52:$D$57,0),MATCH('Base Case'!$D11,Inputs!$D$52:$O$52,0))</f>
        <v>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INDEX(Inputs!$D$52:$O$57,MATCH('Base Case'!$I$8,Inputs!$D$52:$D$57,0),MATCH('Base Case'!$D12,Inputs!$D$52:$O$52,0))</f>
        <v>1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INDEX(Inputs!$D$52:$O$57,MATCH('Base Case'!$I$8,Inputs!$D$52:$D$57,0),MATCH('Base Case'!$D13,Inputs!$D$52:$O$52,0))</f>
        <v>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INDEX(Inputs!$D$52:$O$57,MATCH('Base Case'!$I$8,Inputs!$D$52:$D$57,0),MATCH('Base Case'!$D14,Inputs!$D$52:$O$52,0))</f>
        <v>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118"/>
      <c r="E17" s="51"/>
      <c r="F17" s="51"/>
      <c r="G17" s="51"/>
      <c r="H17" s="51"/>
      <c r="I17" s="62">
        <f>INDEX(Inputs!$J$64:$J$66,MATCH('Base Case'!J17,Inputs!$D$64:$D$66,0))</f>
        <v>3</v>
      </c>
      <c r="J17" s="100" t="s">
        <v>40</v>
      </c>
      <c r="K17" s="101" t="s">
        <v>197</v>
      </c>
      <c r="L17" s="102"/>
      <c r="M17" s="102"/>
      <c r="N17" s="103"/>
      <c r="O17" s="63">
        <f>O107</f>
        <v>67446201.537633687</v>
      </c>
      <c r="P17" s="64">
        <v>0</v>
      </c>
      <c r="Q17" s="64">
        <v>0</v>
      </c>
      <c r="R17" s="64">
        <v>0</v>
      </c>
      <c r="S17" s="65">
        <v>0</v>
      </c>
      <c r="T17" s="66">
        <v>0.2</v>
      </c>
      <c r="U17" s="63">
        <f>SUM(O17:S17)*T17</f>
        <v>13489240.307526737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118"/>
      <c r="E18" s="51"/>
      <c r="F18" s="51"/>
      <c r="G18" s="51"/>
      <c r="H18" s="51"/>
      <c r="I18" s="68">
        <f>INDEX(Inputs!$J$64:$J$66,MATCH('Base Case'!J18,Inputs!$D$64:$D$66,0))</f>
        <v>3</v>
      </c>
      <c r="J18" s="104" t="s">
        <v>40</v>
      </c>
      <c r="K18" s="105" t="s">
        <v>127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6"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118"/>
      <c r="E19" s="51"/>
      <c r="F19" s="51"/>
      <c r="G19" s="51"/>
      <c r="H19" s="51"/>
      <c r="I19" s="68">
        <f>INDEX(Inputs!$J$64:$J$66,MATCH('Base Case'!J19,Inputs!$D$64:$D$66,0))</f>
        <v>3</v>
      </c>
      <c r="J19" s="104" t="s">
        <v>40</v>
      </c>
      <c r="K19" s="105" t="s">
        <v>198</v>
      </c>
      <c r="L19" s="106"/>
      <c r="M19" s="106"/>
      <c r="N19" s="107"/>
      <c r="O19" s="69">
        <v>0</v>
      </c>
      <c r="P19" s="71">
        <v>0</v>
      </c>
      <c r="Q19" s="70">
        <f>Inputs!$M$161*$I$11</f>
        <v>38904898.271869279</v>
      </c>
      <c r="R19" s="71">
        <v>0</v>
      </c>
      <c r="S19" s="72">
        <v>0</v>
      </c>
      <c r="T19" s="76">
        <v>0.2</v>
      </c>
      <c r="U19" s="74">
        <f t="shared" si="0"/>
        <v>7780979.6543738563</v>
      </c>
      <c r="V19" s="75">
        <f t="shared" si="1"/>
        <v>7780979.6543738563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118"/>
      <c r="E20" s="51"/>
      <c r="F20" s="51"/>
      <c r="G20" s="51"/>
      <c r="H20" s="51"/>
      <c r="I20" s="68">
        <f>INDEX(Inputs!$J$64:$J$66,MATCH('Base Case'!J20,Inputs!$D$64:$D$66,0))</f>
        <v>3</v>
      </c>
      <c r="J20" s="104" t="s">
        <v>40</v>
      </c>
      <c r="K20" s="105" t="s">
        <v>199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11651570.123893805</v>
      </c>
      <c r="S20" s="72">
        <v>0</v>
      </c>
      <c r="T20" s="76">
        <v>0.2</v>
      </c>
      <c r="U20" s="74">
        <f t="shared" si="0"/>
        <v>2330314.024778761</v>
      </c>
      <c r="V20" s="75">
        <f t="shared" si="1"/>
        <v>2330314.024778761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118"/>
      <c r="E21" s="51"/>
      <c r="F21" s="51"/>
      <c r="G21" s="51"/>
      <c r="H21" s="51"/>
      <c r="I21" s="68">
        <f>INDEX(Inputs!$J$64:$J$66,MATCH('Base Case'!J21,Inputs!$D$64:$D$66,0))</f>
        <v>3</v>
      </c>
      <c r="J21" s="104" t="s">
        <v>40</v>
      </c>
      <c r="K21" s="105" t="s">
        <v>61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2571967.0088495575</v>
      </c>
      <c r="T21" s="76">
        <v>0.2</v>
      </c>
      <c r="U21" s="74">
        <f t="shared" si="0"/>
        <v>514393.40176991152</v>
      </c>
      <c r="V21" s="75">
        <f t="shared" si="1"/>
        <v>514393.40176991152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118"/>
      <c r="E22" s="51"/>
      <c r="F22" s="51"/>
      <c r="G22" s="51"/>
      <c r="H22" s="51"/>
      <c r="I22" s="68">
        <f>INDEX(Inputs!$J$64:$J$66,MATCH('Base Case'!J22,Inputs!$D$64:$D$66,0))</f>
        <v>3</v>
      </c>
      <c r="J22" s="104" t="s">
        <v>40</v>
      </c>
      <c r="K22" s="105" t="s">
        <v>160</v>
      </c>
      <c r="L22" s="106"/>
      <c r="M22" s="106"/>
      <c r="N22" s="107"/>
      <c r="O22" s="69">
        <v>0</v>
      </c>
      <c r="P22" s="71">
        <v>0</v>
      </c>
      <c r="Q22" s="70">
        <f>Inputs!$K$97*$I$11</f>
        <v>51812.389380530978</v>
      </c>
      <c r="R22" s="71">
        <v>0</v>
      </c>
      <c r="S22" s="72">
        <v>0</v>
      </c>
      <c r="T22" s="76">
        <v>0.2</v>
      </c>
      <c r="U22" s="74">
        <f t="shared" si="0"/>
        <v>10362.477876106197</v>
      </c>
      <c r="V22" s="75">
        <f t="shared" si="1"/>
        <v>10362.477876106197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118"/>
      <c r="E23" s="51"/>
      <c r="F23" s="51"/>
      <c r="G23" s="51"/>
      <c r="H23" s="51"/>
      <c r="I23" s="68">
        <f>INDEX(Inputs!$J$64:$J$66,MATCH('Base Case'!J23,Inputs!$D$64:$D$66,0))</f>
        <v>3</v>
      </c>
      <c r="J23" s="104" t="s">
        <v>40</v>
      </c>
      <c r="K23" s="105" t="s">
        <v>161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6"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118"/>
      <c r="E24" s="51"/>
      <c r="F24" s="51"/>
      <c r="G24" s="51"/>
      <c r="H24" s="51"/>
      <c r="I24" s="68">
        <f>INDEX(Inputs!$J$64:$J$66,MATCH('Base Case'!J24,Inputs!$D$64:$D$66,0))</f>
        <v>3</v>
      </c>
      <c r="J24" s="104" t="s">
        <v>40</v>
      </c>
      <c r="K24" s="105" t="s">
        <v>163</v>
      </c>
      <c r="L24" s="106"/>
      <c r="M24" s="106"/>
      <c r="N24" s="107"/>
      <c r="O24" s="69">
        <v>0</v>
      </c>
      <c r="P24" s="114">
        <v>0</v>
      </c>
      <c r="Q24" s="114">
        <v>0</v>
      </c>
      <c r="R24" s="114">
        <v>0</v>
      </c>
      <c r="S24" s="119">
        <v>0</v>
      </c>
      <c r="T24" s="120"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118"/>
      <c r="E25" s="51"/>
      <c r="F25" s="51"/>
      <c r="G25" s="51"/>
      <c r="H25" s="51"/>
      <c r="I25" s="68">
        <f>INDEX(Inputs!$J$64:$J$66,MATCH('Base Case'!J25,Inputs!$D$64:$D$66,0))</f>
        <v>3</v>
      </c>
      <c r="J25" s="104" t="s">
        <v>40</v>
      </c>
      <c r="K25" s="105" t="s">
        <v>162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6"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118"/>
      <c r="E26" s="51"/>
      <c r="F26" s="51"/>
      <c r="G26" s="51"/>
      <c r="H26" s="51"/>
      <c r="I26" s="78">
        <f>INDEX(Inputs!$J$64:$J$66,MATCH('Base Case'!J26,Inputs!$D$64:$D$66,0))</f>
        <v>3</v>
      </c>
      <c r="J26" s="108" t="s">
        <v>40</v>
      </c>
      <c r="K26" s="109" t="s">
        <v>162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82"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INDEX(Inputs!$J$64:$J$66,MATCH('Base Case'!J27,Inputs!$D$64:$D$66,0))</f>
        <v>2</v>
      </c>
      <c r="J27" s="100" t="s">
        <v>39</v>
      </c>
      <c r="K27" s="101" t="s">
        <v>197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1-T17-T34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INDEX(Inputs!$J$64:$J$66,MATCH('Base Case'!J28,Inputs!$D$64:$D$66,0))</f>
        <v>2</v>
      </c>
      <c r="J28" s="104" t="s">
        <v>39</v>
      </c>
      <c r="K28" s="105" t="s">
        <v>127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1-T18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INDEX(Inputs!$J$64:$J$66,MATCH('Base Case'!J29,Inputs!$D$64:$D$66,0))</f>
        <v>2</v>
      </c>
      <c r="J29" s="104" t="s">
        <v>39</v>
      </c>
      <c r="K29" s="105" t="s">
        <v>198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6"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INDEX(Inputs!$J$64:$J$66,MATCH('Base Case'!J30,Inputs!$D$64:$D$66,0))</f>
        <v>2</v>
      </c>
      <c r="J30" s="104" t="s">
        <v>39</v>
      </c>
      <c r="K30" s="105" t="s">
        <v>199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3883856.7079646019</v>
      </c>
      <c r="S30" s="72">
        <v>0</v>
      </c>
      <c r="T30" s="76">
        <v>0.8</v>
      </c>
      <c r="U30" s="74">
        <f t="shared" si="0"/>
        <v>3107085.3663716819</v>
      </c>
      <c r="V30" s="75">
        <f t="shared" si="1"/>
        <v>3107085.3663716819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INDEX(Inputs!$J$64:$J$66,MATCH('Base Case'!J31,Inputs!$D$64:$D$66,0))</f>
        <v>2</v>
      </c>
      <c r="J31" s="104" t="s">
        <v>39</v>
      </c>
      <c r="K31" s="105" t="s">
        <v>61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866510.40000000014</v>
      </c>
      <c r="T31" s="76">
        <v>0.8</v>
      </c>
      <c r="U31" s="74">
        <f t="shared" si="0"/>
        <v>693208.32000000018</v>
      </c>
      <c r="V31" s="75">
        <f t="shared" si="1"/>
        <v>693208.32000000018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INDEX(Inputs!$J$64:$J$66,MATCH('Base Case'!J32,Inputs!$D$64:$D$66,0))</f>
        <v>2</v>
      </c>
      <c r="J32" s="104" t="s">
        <v>39</v>
      </c>
      <c r="K32" s="105" t="s">
        <v>160</v>
      </c>
      <c r="L32" s="106"/>
      <c r="M32" s="106"/>
      <c r="N32" s="107"/>
      <c r="O32" s="69">
        <v>0</v>
      </c>
      <c r="P32" s="71">
        <v>0</v>
      </c>
      <c r="Q32" s="70">
        <f>Inputs!$K$97*$I$11</f>
        <v>51812.389380530978</v>
      </c>
      <c r="R32" s="71">
        <v>0</v>
      </c>
      <c r="S32" s="72">
        <v>0</v>
      </c>
      <c r="T32" s="76">
        <v>0.8</v>
      </c>
      <c r="U32" s="74">
        <f t="shared" si="0"/>
        <v>41449.911504424788</v>
      </c>
      <c r="V32" s="75">
        <f t="shared" si="1"/>
        <v>41449.911504424788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INDEX(Inputs!$J$64:$J$66,MATCH('Base Case'!J33,Inputs!$D$64:$D$66,0))</f>
        <v>2</v>
      </c>
      <c r="J33" s="104" t="s">
        <v>39</v>
      </c>
      <c r="K33" s="105" t="s">
        <v>161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6"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INDEX(Inputs!$J$64:$J$66,MATCH('Base Case'!J34,Inputs!$D$64:$D$66,0))</f>
        <v>2</v>
      </c>
      <c r="J34" s="104" t="s">
        <v>39</v>
      </c>
      <c r="K34" s="105" t="s">
        <v>163</v>
      </c>
      <c r="L34" s="106"/>
      <c r="M34" s="106"/>
      <c r="N34" s="107"/>
      <c r="O34" s="74">
        <f>O105</f>
        <v>15734338.550227782</v>
      </c>
      <c r="P34" s="71">
        <v>0</v>
      </c>
      <c r="Q34" s="70">
        <f>Inputs!$L$161*$I$11</f>
        <v>7388260.8663932448</v>
      </c>
      <c r="R34" s="71">
        <v>0</v>
      </c>
      <c r="S34" s="72">
        <v>0</v>
      </c>
      <c r="T34" s="76">
        <v>0.04</v>
      </c>
      <c r="U34" s="74">
        <f t="shared" si="0"/>
        <v>924903.97666484106</v>
      </c>
      <c r="V34" s="75">
        <f t="shared" si="1"/>
        <v>295530.4346557298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INDEX(Inputs!$J$64:$J$66,MATCH('Base Case'!J35,Inputs!$D$64:$D$66,0))</f>
        <v>2</v>
      </c>
      <c r="J35" s="104" t="s">
        <v>39</v>
      </c>
      <c r="K35" s="105" t="s">
        <v>162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6"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INDEX(Inputs!$J$64:$J$66,MATCH('Base Case'!J36,Inputs!$D$64:$D$66,0))</f>
        <v>2</v>
      </c>
      <c r="J36" s="108" t="s">
        <v>39</v>
      </c>
      <c r="K36" s="109" t="s">
        <v>162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82"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INDEX(Inputs!$J$64:$J$66,MATCH('Base Case'!J37,Inputs!$D$64:$D$66,0))</f>
        <v>1</v>
      </c>
      <c r="J37" s="100" t="s">
        <v>38</v>
      </c>
      <c r="K37" s="101" t="s">
        <v>197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1-T44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INDEX(Inputs!$J$64:$J$66,MATCH('Base Case'!J38,Inputs!$D$64:$D$66,0))</f>
        <v>1</v>
      </c>
      <c r="J38" s="104" t="s">
        <v>38</v>
      </c>
      <c r="K38" s="105" t="s">
        <v>127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6"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INDEX(Inputs!$J$64:$J$66,MATCH('Base Case'!J39,Inputs!$D$64:$D$66,0))</f>
        <v>1</v>
      </c>
      <c r="J39" s="104" t="s">
        <v>38</v>
      </c>
      <c r="K39" s="105" t="s">
        <v>198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6"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INDEX(Inputs!$J$64:$J$66,MATCH('Base Case'!J40,Inputs!$D$64:$D$66,0))</f>
        <v>1</v>
      </c>
      <c r="J40" s="104" t="s">
        <v>38</v>
      </c>
      <c r="K40" s="105" t="s">
        <v>199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11916.849557522124</v>
      </c>
      <c r="S40" s="72">
        <v>0</v>
      </c>
      <c r="T40" s="76">
        <v>1</v>
      </c>
      <c r="U40" s="74">
        <f t="shared" si="0"/>
        <v>11916.849557522124</v>
      </c>
      <c r="V40" s="75">
        <f t="shared" si="1"/>
        <v>11916.849557522124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INDEX(Inputs!$J$64:$J$66,MATCH('Base Case'!J41,Inputs!$D$64:$D$66,0))</f>
        <v>1</v>
      </c>
      <c r="J41" s="104" t="s">
        <v>38</v>
      </c>
      <c r="K41" s="105" t="s">
        <v>61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63521.989380530969</v>
      </c>
      <c r="T41" s="76">
        <v>1</v>
      </c>
      <c r="U41" s="74">
        <f t="shared" si="0"/>
        <v>63521.989380530969</v>
      </c>
      <c r="V41" s="75">
        <f t="shared" si="1"/>
        <v>63521.989380530969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INDEX(Inputs!$J$64:$J$66,MATCH('Base Case'!J42,Inputs!$D$64:$D$66,0))</f>
        <v>1</v>
      </c>
      <c r="J42" s="104" t="s">
        <v>38</v>
      </c>
      <c r="K42" s="105" t="s">
        <v>160</v>
      </c>
      <c r="L42" s="106"/>
      <c r="M42" s="106"/>
      <c r="N42" s="107"/>
      <c r="O42" s="69">
        <v>0</v>
      </c>
      <c r="P42" s="71">
        <v>0</v>
      </c>
      <c r="Q42" s="70">
        <f>Inputs!$K$97*$I$11</f>
        <v>51812.389380530978</v>
      </c>
      <c r="R42" s="71">
        <v>0</v>
      </c>
      <c r="S42" s="72">
        <v>0</v>
      </c>
      <c r="T42" s="76">
        <v>1</v>
      </c>
      <c r="U42" s="74">
        <f t="shared" si="0"/>
        <v>51812.389380530978</v>
      </c>
      <c r="V42" s="75">
        <f t="shared" si="1"/>
        <v>51812.389380530978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INDEX(Inputs!$J$64:$J$66,MATCH('Base Case'!J43,Inputs!$D$64:$D$66,0))</f>
        <v>1</v>
      </c>
      <c r="J43" s="104" t="s">
        <v>38</v>
      </c>
      <c r="K43" s="105" t="s">
        <v>161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6"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INDEX(Inputs!$J$64:$J$66,MATCH('Base Case'!J44,Inputs!$D$64:$D$66,0))</f>
        <v>1</v>
      </c>
      <c r="J44" s="104" t="s">
        <v>38</v>
      </c>
      <c r="K44" s="105" t="s">
        <v>163</v>
      </c>
      <c r="L44" s="106"/>
      <c r="M44" s="106"/>
      <c r="N44" s="107"/>
      <c r="O44" s="74">
        <f>O105</f>
        <v>15734338.550227782</v>
      </c>
      <c r="P44" s="71">
        <v>0</v>
      </c>
      <c r="Q44" s="70">
        <f>SUM(Inputs!$J$161,Inputs!$L$161*(Inputs!$J$128/Inputs!$L$128))*$I$11</f>
        <v>1465924.7750780247</v>
      </c>
      <c r="R44" s="71">
        <v>0</v>
      </c>
      <c r="S44" s="72">
        <v>0</v>
      </c>
      <c r="T44" s="73">
        <f>T34</f>
        <v>0.04</v>
      </c>
      <c r="U44" s="74">
        <f t="shared" si="0"/>
        <v>688010.53301223216</v>
      </c>
      <c r="V44" s="75">
        <f t="shared" si="1"/>
        <v>58636.991003120987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INDEX(Inputs!$J$64:$J$66,MATCH('Base Case'!J45,Inputs!$D$64:$D$66,0))</f>
        <v>1</v>
      </c>
      <c r="J45" s="104" t="s">
        <v>38</v>
      </c>
      <c r="K45" s="105" t="s">
        <v>162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6"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INDEX(Inputs!$J$64:$J$66,MATCH('Base Case'!J46,Inputs!$D$64:$D$66,0))</f>
        <v>1</v>
      </c>
      <c r="J46" s="108" t="s">
        <v>38</v>
      </c>
      <c r="K46" s="109" t="s">
        <v>162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82"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INDEX(Inputs!$J$64:$J$66,MATCH('Base Case'!J49,Inputs!$D$64:$D$66,0))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15734338.550227782</v>
      </c>
      <c r="P49" s="70">
        <f t="shared" ref="P49:V49" si="2">SUMIF($I$17:$I$46,$I49,P$17:P$46)</f>
        <v>8261.6387603969597</v>
      </c>
      <c r="Q49" s="70">
        <f t="shared" si="2"/>
        <v>1517737.1644585556</v>
      </c>
      <c r="R49" s="70">
        <f t="shared" si="2"/>
        <v>11916.849557522124</v>
      </c>
      <c r="S49" s="70">
        <f t="shared" si="2"/>
        <v>63521.989380530969</v>
      </c>
      <c r="T49" s="56">
        <f>U49/SUM(O49:S49)</f>
        <v>4.7504270414668155E-2</v>
      </c>
      <c r="U49" s="70">
        <f t="shared" si="2"/>
        <v>823523.40009121317</v>
      </c>
      <c r="V49" s="70">
        <f t="shared" si="2"/>
        <v>194149.858082102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INDEX(Inputs!$J$64:$J$66,MATCH('Base Case'!J50,Inputs!$D$64:$D$66,0))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15734338.550227782</v>
      </c>
      <c r="P50" s="70">
        <f t="shared" si="3"/>
        <v>28915.735661389357</v>
      </c>
      <c r="Q50" s="70">
        <f t="shared" si="3"/>
        <v>7440073.2557737762</v>
      </c>
      <c r="R50" s="70">
        <f t="shared" si="3"/>
        <v>3883856.7079646019</v>
      </c>
      <c r="S50" s="70">
        <f t="shared" si="3"/>
        <v>866510.40000000014</v>
      </c>
      <c r="T50" s="56">
        <f t="shared" ref="T50:T51" si="4">U50/SUM(O50:S50)</f>
        <v>0.17134694440592946</v>
      </c>
      <c r="U50" s="70">
        <f t="shared" si="3"/>
        <v>4789780.1630700594</v>
      </c>
      <c r="V50" s="70">
        <f t="shared" si="3"/>
        <v>4160406.6210609479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INDEX(Inputs!$J$64:$J$66,MATCH('Base Case'!J51,Inputs!$D$64:$D$66,0))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67446201.537633687</v>
      </c>
      <c r="P51" s="70">
        <f t="shared" si="3"/>
        <v>28915.735661389357</v>
      </c>
      <c r="Q51" s="70">
        <f t="shared" si="3"/>
        <v>38956710.661249809</v>
      </c>
      <c r="R51" s="70">
        <f t="shared" si="3"/>
        <v>11651570.123893805</v>
      </c>
      <c r="S51" s="70">
        <f t="shared" si="3"/>
        <v>2571967.0088495575</v>
      </c>
      <c r="T51" s="56">
        <f t="shared" si="4"/>
        <v>0.19999999999999996</v>
      </c>
      <c r="U51" s="70">
        <f t="shared" si="3"/>
        <v>24131073.013457645</v>
      </c>
      <c r="V51" s="70">
        <f t="shared" si="3"/>
        <v>10641832.705930913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29744376.576618917</v>
      </c>
      <c r="V52" s="88">
        <f>SUM(V49:V51)</f>
        <v>14996389.185073962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Base case: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97.1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65.2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32.200000000000003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50.598999999999997</v>
      </c>
      <c r="P69" s="70">
        <f>Inputs!P185*$I$12</f>
        <v>52.313000000000002</v>
      </c>
      <c r="Q69" s="70">
        <f>Inputs!Q185*$I$12</f>
        <v>52.234000000000002</v>
      </c>
      <c r="R69" s="70">
        <f>Inputs!R185*$I$12</f>
        <v>52.235999999999997</v>
      </c>
      <c r="S69" s="70">
        <f>Inputs!S185*$I$12</f>
        <v>52.914999999999999</v>
      </c>
      <c r="T69" s="70">
        <f>Inputs!T185*$I$12</f>
        <v>53.262999999999998</v>
      </c>
      <c r="U69" s="70">
        <f>Inputs!U185*$I$12</f>
        <v>55.456000000000003</v>
      </c>
      <c r="V69" s="70">
        <f>Inputs!V185*$I$12</f>
        <v>55.456000000000003</v>
      </c>
      <c r="W69" s="70">
        <f>Inputs!W185*$I$12</f>
        <v>55.456000000000003</v>
      </c>
      <c r="X69" s="70">
        <f>Inputs!X185*$I$12</f>
        <v>55.456000000000003</v>
      </c>
      <c r="Y69" s="70">
        <f>Inputs!Y185*$I$12</f>
        <v>55.456000000000003</v>
      </c>
      <c r="Z69" s="70">
        <f>Inputs!Z185*$I$12</f>
        <v>55.456000000000003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46.625</v>
      </c>
      <c r="P70" s="70">
        <f>Inputs!P186*$I$12</f>
        <v>48.399000000000001</v>
      </c>
      <c r="Q70" s="70">
        <f>Inputs!Q186*$I$12</f>
        <v>48.405000000000001</v>
      </c>
      <c r="R70" s="70">
        <f>Inputs!R186*$I$12</f>
        <v>48.499000000000002</v>
      </c>
      <c r="S70" s="70">
        <f>Inputs!S186*$I$12</f>
        <v>48.771000000000001</v>
      </c>
      <c r="T70" s="70">
        <f>Inputs!T186*$I$12</f>
        <v>49.47</v>
      </c>
      <c r="U70" s="70">
        <f>Inputs!U186*$I$12</f>
        <v>50.508000000000003</v>
      </c>
      <c r="V70" s="70">
        <f>Inputs!V186*$I$12</f>
        <v>50.508000000000003</v>
      </c>
      <c r="W70" s="70">
        <f>Inputs!W186*$I$12</f>
        <v>50.508000000000003</v>
      </c>
      <c r="X70" s="70">
        <f>Inputs!X186*$I$12</f>
        <v>50.508000000000003</v>
      </c>
      <c r="Y70" s="70">
        <f>Inputs!Y186*$I$12</f>
        <v>50.508000000000003</v>
      </c>
      <c r="Z70" s="70">
        <f>Inputs!Z186*$I$12</f>
        <v>50.508000000000003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47.8172</v>
      </c>
      <c r="P71" s="70">
        <f>Inputs!P187*$I$12</f>
        <v>49.5732</v>
      </c>
      <c r="Q71" s="70">
        <f>Inputs!Q187*$I$12</f>
        <v>49.553699999999999</v>
      </c>
      <c r="R71" s="70">
        <f>Inputs!R187*$I$12</f>
        <v>49.620100000000001</v>
      </c>
      <c r="S71" s="70">
        <f>Inputs!S187*$I$12</f>
        <v>50.014200000000002</v>
      </c>
      <c r="T71" s="70">
        <f>Inputs!T187*$I$12</f>
        <v>50.607900000000001</v>
      </c>
      <c r="U71" s="70">
        <f>Inputs!U187*$I$12</f>
        <v>51.992400000000004</v>
      </c>
      <c r="V71" s="70">
        <f>Inputs!V187*$I$12</f>
        <v>51.992400000000004</v>
      </c>
      <c r="W71" s="70">
        <f>Inputs!W187*$I$12</f>
        <v>51.992400000000004</v>
      </c>
      <c r="X71" s="70">
        <f>Inputs!X187*$I$12</f>
        <v>51.992400000000004</v>
      </c>
      <c r="Y71" s="70">
        <f>Inputs!Y187*$I$12</f>
        <v>51.992400000000004</v>
      </c>
      <c r="Z71" s="70">
        <f>Inputs!Z187*$I$12</f>
        <v>51.992400000000004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76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ref="P77:Z77" si="6">MAX(0,P$71-$J$64-$J60)</f>
        <v>0</v>
      </c>
      <c r="Q77" s="70">
        <f t="shared" si="6"/>
        <v>0</v>
      </c>
      <c r="R77" s="70">
        <f t="shared" si="6"/>
        <v>0</v>
      </c>
      <c r="S77" s="70">
        <f t="shared" si="6"/>
        <v>0</v>
      </c>
      <c r="T77" s="70">
        <f t="shared" si="6"/>
        <v>0</v>
      </c>
      <c r="U77" s="70">
        <f t="shared" si="6"/>
        <v>0</v>
      </c>
      <c r="V77" s="70">
        <f t="shared" si="6"/>
        <v>0</v>
      </c>
      <c r="W77" s="70">
        <f t="shared" si="6"/>
        <v>0</v>
      </c>
      <c r="X77" s="70">
        <f t="shared" si="6"/>
        <v>0</v>
      </c>
      <c r="Y77" s="70">
        <f t="shared" si="6"/>
        <v>0</v>
      </c>
      <c r="Z77" s="70">
        <f t="shared" si="6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15.617199999999997</v>
      </c>
      <c r="P78" s="70">
        <f t="shared" ref="P78:Z78" si="7">MAX(0,P$71-$J$64-$J61)</f>
        <v>17.373199999999997</v>
      </c>
      <c r="Q78" s="70">
        <f t="shared" si="7"/>
        <v>17.353699999999996</v>
      </c>
      <c r="R78" s="70">
        <f t="shared" si="7"/>
        <v>17.420099999999998</v>
      </c>
      <c r="S78" s="70">
        <f t="shared" si="7"/>
        <v>17.8142</v>
      </c>
      <c r="T78" s="70">
        <f t="shared" si="7"/>
        <v>18.407899999999998</v>
      </c>
      <c r="U78" s="70">
        <f t="shared" si="7"/>
        <v>19.792400000000001</v>
      </c>
      <c r="V78" s="70">
        <f t="shared" si="7"/>
        <v>19.792400000000001</v>
      </c>
      <c r="W78" s="70">
        <f t="shared" si="7"/>
        <v>19.792400000000001</v>
      </c>
      <c r="X78" s="70">
        <f t="shared" si="7"/>
        <v>19.792400000000001</v>
      </c>
      <c r="Y78" s="70">
        <f t="shared" si="7"/>
        <v>19.792400000000001</v>
      </c>
      <c r="Z78" s="70">
        <f t="shared" si="7"/>
        <v>19.792400000000001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47.8172</v>
      </c>
      <c r="P79" s="70">
        <f t="shared" ref="P79:Z79" si="8">MAX(0,P$71-$J$64-$J62)</f>
        <v>49.5732</v>
      </c>
      <c r="Q79" s="70">
        <f t="shared" si="8"/>
        <v>49.553699999999999</v>
      </c>
      <c r="R79" s="70">
        <f t="shared" si="8"/>
        <v>49.620100000000001</v>
      </c>
      <c r="S79" s="70">
        <f t="shared" si="8"/>
        <v>50.014200000000002</v>
      </c>
      <c r="T79" s="70">
        <f t="shared" si="8"/>
        <v>50.607900000000001</v>
      </c>
      <c r="U79" s="70">
        <f t="shared" si="8"/>
        <v>51.992400000000004</v>
      </c>
      <c r="V79" s="70">
        <f t="shared" si="8"/>
        <v>51.992400000000004</v>
      </c>
      <c r="W79" s="70">
        <f t="shared" si="8"/>
        <v>51.992400000000004</v>
      </c>
      <c r="X79" s="70">
        <f t="shared" si="8"/>
        <v>51.992400000000004</v>
      </c>
      <c r="Y79" s="70">
        <f t="shared" si="8"/>
        <v>51.992400000000004</v>
      </c>
      <c r="Z79" s="70">
        <f t="shared" si="8"/>
        <v>51.992400000000004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47.8172</v>
      </c>
      <c r="P80" s="70">
        <f t="shared" ref="P80:Z80" si="9">MAX(0,P$71-$J$64-$J63)</f>
        <v>49.5732</v>
      </c>
      <c r="Q80" s="70">
        <f t="shared" si="9"/>
        <v>49.553699999999999</v>
      </c>
      <c r="R80" s="70">
        <f t="shared" si="9"/>
        <v>49.620100000000001</v>
      </c>
      <c r="S80" s="70">
        <f t="shared" si="9"/>
        <v>50.014200000000002</v>
      </c>
      <c r="T80" s="70">
        <f t="shared" si="9"/>
        <v>50.607900000000001</v>
      </c>
      <c r="U80" s="70">
        <f t="shared" si="9"/>
        <v>51.992400000000004</v>
      </c>
      <c r="V80" s="70">
        <f t="shared" si="9"/>
        <v>51.992400000000004</v>
      </c>
      <c r="W80" s="70">
        <f t="shared" si="9"/>
        <v>51.992400000000004</v>
      </c>
      <c r="X80" s="70">
        <f t="shared" si="9"/>
        <v>51.992400000000004</v>
      </c>
      <c r="Y80" s="70">
        <f t="shared" si="9"/>
        <v>51.992400000000004</v>
      </c>
      <c r="Z80" s="70">
        <f t="shared" si="9"/>
        <v>51.992400000000004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193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194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10">MAX(0,((P85-1)-1)/2)</f>
        <v>0</v>
      </c>
      <c r="Q86" s="70">
        <f t="shared" si="10"/>
        <v>0</v>
      </c>
      <c r="R86" s="70">
        <f t="shared" si="10"/>
        <v>0</v>
      </c>
      <c r="S86" s="70">
        <f t="shared" si="10"/>
        <v>0</v>
      </c>
      <c r="T86" s="70">
        <f t="shared" si="10"/>
        <v>0</v>
      </c>
      <c r="U86" s="70">
        <f t="shared" si="10"/>
        <v>0</v>
      </c>
      <c r="V86" s="70">
        <f t="shared" si="10"/>
        <v>0</v>
      </c>
      <c r="W86" s="70">
        <f t="shared" si="10"/>
        <v>0</v>
      </c>
      <c r="X86" s="70">
        <f t="shared" si="10"/>
        <v>0</v>
      </c>
      <c r="Y86" s="70">
        <f t="shared" si="10"/>
        <v>0</v>
      </c>
      <c r="Z86" s="70">
        <f t="shared" si="10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11">IFERROR((P85-P86)/P85,0)*MAX(0,P85)</f>
        <v>1</v>
      </c>
      <c r="Q87" s="93">
        <f t="shared" si="11"/>
        <v>1</v>
      </c>
      <c r="R87" s="93">
        <f t="shared" si="11"/>
        <v>1</v>
      </c>
      <c r="S87" s="93">
        <f t="shared" si="11"/>
        <v>1</v>
      </c>
      <c r="T87" s="93">
        <f t="shared" si="11"/>
        <v>1</v>
      </c>
      <c r="U87" s="93">
        <f t="shared" si="11"/>
        <v>1</v>
      </c>
      <c r="V87" s="93">
        <f t="shared" si="11"/>
        <v>1</v>
      </c>
      <c r="W87" s="93">
        <f t="shared" si="11"/>
        <v>1</v>
      </c>
      <c r="X87" s="93">
        <f t="shared" si="11"/>
        <v>1</v>
      </c>
      <c r="Y87" s="93">
        <f t="shared" si="11"/>
        <v>1</v>
      </c>
      <c r="Z87" s="93">
        <f t="shared" si="11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12">E85</f>
        <v>Days to connect generators, plus 1 day lead time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12"/>
        <v>Adjustment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13">MAX(0,((P88-1)-1)/2)</f>
        <v>0</v>
      </c>
      <c r="Q89" s="70">
        <f t="shared" si="13"/>
        <v>0</v>
      </c>
      <c r="R89" s="70">
        <f t="shared" si="13"/>
        <v>0</v>
      </c>
      <c r="S89" s="70">
        <f t="shared" si="13"/>
        <v>0</v>
      </c>
      <c r="T89" s="70">
        <f t="shared" si="13"/>
        <v>0</v>
      </c>
      <c r="U89" s="70">
        <f t="shared" si="13"/>
        <v>0</v>
      </c>
      <c r="V89" s="70">
        <f t="shared" si="13"/>
        <v>0</v>
      </c>
      <c r="W89" s="70">
        <f t="shared" si="13"/>
        <v>0</v>
      </c>
      <c r="X89" s="70">
        <f t="shared" si="13"/>
        <v>0</v>
      </c>
      <c r="Y89" s="70">
        <f t="shared" si="13"/>
        <v>0</v>
      </c>
      <c r="Z89" s="70">
        <f t="shared" si="13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12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4">IFERROR((P88-P89)/P88,0)*MAX(0,P88)</f>
        <v>1</v>
      </c>
      <c r="Q90" s="93">
        <f t="shared" si="14"/>
        <v>1</v>
      </c>
      <c r="R90" s="93">
        <f t="shared" si="14"/>
        <v>1</v>
      </c>
      <c r="S90" s="93">
        <f t="shared" si="14"/>
        <v>1</v>
      </c>
      <c r="T90" s="93">
        <f t="shared" si="14"/>
        <v>1</v>
      </c>
      <c r="U90" s="93">
        <f t="shared" si="14"/>
        <v>1</v>
      </c>
      <c r="V90" s="93">
        <f t="shared" si="14"/>
        <v>1</v>
      </c>
      <c r="W90" s="93">
        <f t="shared" si="14"/>
        <v>1</v>
      </c>
      <c r="X90" s="93">
        <f t="shared" si="14"/>
        <v>1</v>
      </c>
      <c r="Y90" s="93">
        <f t="shared" si="14"/>
        <v>1</v>
      </c>
      <c r="Z90" s="93">
        <f t="shared" si="14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12"/>
        <v>Days to connect generators, plus 1 day lead time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12"/>
        <v>Adjustment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5">MAX(0,((P91-1)-1)/2)</f>
        <v>0.5</v>
      </c>
      <c r="Q92" s="70">
        <f t="shared" si="15"/>
        <v>0.5</v>
      </c>
      <c r="R92" s="70">
        <f t="shared" si="15"/>
        <v>0.5</v>
      </c>
      <c r="S92" s="70">
        <f t="shared" si="15"/>
        <v>0.5</v>
      </c>
      <c r="T92" s="70">
        <f t="shared" si="15"/>
        <v>0.5</v>
      </c>
      <c r="U92" s="70">
        <f t="shared" si="15"/>
        <v>0.5</v>
      </c>
      <c r="V92" s="70">
        <f t="shared" si="15"/>
        <v>0.5</v>
      </c>
      <c r="W92" s="70">
        <f t="shared" si="15"/>
        <v>0.5</v>
      </c>
      <c r="X92" s="70">
        <f t="shared" si="15"/>
        <v>0.5</v>
      </c>
      <c r="Y92" s="70">
        <f t="shared" si="15"/>
        <v>0.5</v>
      </c>
      <c r="Z92" s="70">
        <f t="shared" si="15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12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6">IFERROR((P91-P92)/P91,0)*MAX(0,P91)</f>
        <v>2.5</v>
      </c>
      <c r="Q93" s="93">
        <f t="shared" si="16"/>
        <v>2.5</v>
      </c>
      <c r="R93" s="93">
        <f t="shared" si="16"/>
        <v>2.5</v>
      </c>
      <c r="S93" s="93">
        <f t="shared" si="16"/>
        <v>2.5</v>
      </c>
      <c r="T93" s="93">
        <f t="shared" si="16"/>
        <v>2.5</v>
      </c>
      <c r="U93" s="93">
        <f t="shared" si="16"/>
        <v>2.5</v>
      </c>
      <c r="V93" s="93">
        <f t="shared" si="16"/>
        <v>2.5</v>
      </c>
      <c r="W93" s="93">
        <f t="shared" si="16"/>
        <v>2.5</v>
      </c>
      <c r="X93" s="93">
        <f t="shared" si="16"/>
        <v>2.5</v>
      </c>
      <c r="Y93" s="93">
        <f t="shared" si="16"/>
        <v>2.5</v>
      </c>
      <c r="Z93" s="93">
        <f t="shared" si="16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12"/>
        <v>Days to connect generators, plus 1 day lead time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5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6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12"/>
        <v>Adjustment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1.5</v>
      </c>
      <c r="P95" s="70">
        <f t="shared" ref="P95:Z95" si="17">MAX(0,((P94-1)-1)/2)</f>
        <v>2</v>
      </c>
      <c r="Q95" s="70">
        <f t="shared" si="17"/>
        <v>2</v>
      </c>
      <c r="R95" s="70">
        <f t="shared" si="17"/>
        <v>2</v>
      </c>
      <c r="S95" s="70">
        <f t="shared" si="17"/>
        <v>2</v>
      </c>
      <c r="T95" s="70">
        <f t="shared" si="17"/>
        <v>2</v>
      </c>
      <c r="U95" s="70">
        <f t="shared" si="17"/>
        <v>2</v>
      </c>
      <c r="V95" s="70">
        <f t="shared" si="17"/>
        <v>2</v>
      </c>
      <c r="W95" s="70">
        <f t="shared" si="17"/>
        <v>2</v>
      </c>
      <c r="X95" s="70">
        <f t="shared" si="17"/>
        <v>2</v>
      </c>
      <c r="Y95" s="70">
        <f t="shared" si="17"/>
        <v>2</v>
      </c>
      <c r="Z95" s="70">
        <f t="shared" si="17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12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3.5</v>
      </c>
      <c r="P96" s="93">
        <f t="shared" ref="P96:Z96" si="18">IFERROR((P94-P95)/P94,0)*MAX(0,P94)</f>
        <v>4</v>
      </c>
      <c r="Q96" s="93">
        <f t="shared" si="18"/>
        <v>4</v>
      </c>
      <c r="R96" s="93">
        <f t="shared" si="18"/>
        <v>4</v>
      </c>
      <c r="S96" s="93">
        <f t="shared" si="18"/>
        <v>4</v>
      </c>
      <c r="T96" s="93">
        <f t="shared" si="18"/>
        <v>4</v>
      </c>
      <c r="U96" s="93">
        <f t="shared" si="18"/>
        <v>4</v>
      </c>
      <c r="V96" s="93">
        <f t="shared" si="18"/>
        <v>4</v>
      </c>
      <c r="W96" s="93">
        <f t="shared" si="18"/>
        <v>4</v>
      </c>
      <c r="X96" s="93">
        <f t="shared" si="18"/>
        <v>4</v>
      </c>
      <c r="Y96" s="93">
        <f t="shared" si="18"/>
        <v>4</v>
      </c>
      <c r="Z96" s="93">
        <f t="shared" si="18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12"/>
        <v>Days to connect generators, plus 1 day lead time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5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6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12"/>
        <v>Adjustment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1.5</v>
      </c>
      <c r="P98" s="70">
        <f t="shared" ref="P98:Z98" si="19">MAX(0,((P97-1)-1)/2)</f>
        <v>2</v>
      </c>
      <c r="Q98" s="70">
        <f t="shared" si="19"/>
        <v>2</v>
      </c>
      <c r="R98" s="70">
        <f t="shared" si="19"/>
        <v>2</v>
      </c>
      <c r="S98" s="70">
        <f t="shared" si="19"/>
        <v>2</v>
      </c>
      <c r="T98" s="70">
        <f t="shared" si="19"/>
        <v>2</v>
      </c>
      <c r="U98" s="70">
        <f t="shared" si="19"/>
        <v>2</v>
      </c>
      <c r="V98" s="70">
        <f t="shared" si="19"/>
        <v>2</v>
      </c>
      <c r="W98" s="70">
        <f t="shared" si="19"/>
        <v>2</v>
      </c>
      <c r="X98" s="70">
        <f t="shared" si="19"/>
        <v>2</v>
      </c>
      <c r="Y98" s="70">
        <f t="shared" si="19"/>
        <v>2</v>
      </c>
      <c r="Z98" s="70">
        <f t="shared" si="19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12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3.5</v>
      </c>
      <c r="P99" s="93">
        <f t="shared" ref="P99:Z99" si="20">IFERROR((P97-P98)/P97,0)*MAX(0,P97)</f>
        <v>4</v>
      </c>
      <c r="Q99" s="93">
        <f t="shared" si="20"/>
        <v>4</v>
      </c>
      <c r="R99" s="93">
        <f t="shared" si="20"/>
        <v>4</v>
      </c>
      <c r="S99" s="93">
        <f t="shared" si="20"/>
        <v>4</v>
      </c>
      <c r="T99" s="93">
        <f t="shared" si="20"/>
        <v>4</v>
      </c>
      <c r="U99" s="112">
        <f t="shared" si="20"/>
        <v>4</v>
      </c>
      <c r="V99" s="93">
        <f t="shared" si="20"/>
        <v>4</v>
      </c>
      <c r="W99" s="93">
        <f t="shared" si="20"/>
        <v>4</v>
      </c>
      <c r="X99" s="93">
        <f t="shared" si="20"/>
        <v>4</v>
      </c>
      <c r="Y99" s="93">
        <f t="shared" si="20"/>
        <v>4</v>
      </c>
      <c r="Z99" s="93">
        <f t="shared" si="20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15734338.550227782</v>
      </c>
      <c r="P105" s="70">
        <f>P78*Inputs!$M$75*IF(Inputs!$M$126&gt;0,Inputs!$M$126,P93*Inputs!$J$123)*$I$13</f>
        <v>17503509.624056637</v>
      </c>
      <c r="Q105" s="70">
        <f>Q78*Inputs!$M$75*IF(Inputs!$M$126&gt;0,Inputs!$M$126,Q93*Inputs!$J$123)*$I$13</f>
        <v>17483863.362131998</v>
      </c>
      <c r="R105" s="70">
        <f>R78*Inputs!$M$75*IF(Inputs!$M$126&gt;0,Inputs!$M$126,R93*Inputs!$J$123)*$I$13</f>
        <v>17550761.402736917</v>
      </c>
      <c r="S105" s="70">
        <f>S78*Inputs!$M$75*IF(Inputs!$M$126&gt;0,Inputs!$M$126,S93*Inputs!$J$123)*$I$13</f>
        <v>17947817.393736891</v>
      </c>
      <c r="T105" s="70">
        <f>T78*Inputs!$M$75*IF(Inputs!$M$126&gt;0,Inputs!$M$126,T93*Inputs!$J$123)*$I$13</f>
        <v>18545970.506796222</v>
      </c>
      <c r="U105" s="70">
        <f>U78*Inputs!$M$75*IF(Inputs!$M$126&gt;0,Inputs!$M$126,U93*Inputs!$J$123)*$I$13</f>
        <v>19940855.103445459</v>
      </c>
      <c r="V105" s="70">
        <f>V78*Inputs!$M$75*IF(Inputs!$M$126&gt;0,Inputs!$M$126,V93*Inputs!$J$123)*$I$13</f>
        <v>19940855.103445459</v>
      </c>
      <c r="W105" s="70">
        <f>W78*Inputs!$M$75*IF(Inputs!$M$126&gt;0,Inputs!$M$126,W93*Inputs!$J$123)*$I$13</f>
        <v>19940855.103445459</v>
      </c>
      <c r="X105" s="70">
        <f>X78*Inputs!$M$75*IF(Inputs!$M$126&gt;0,Inputs!$M$126,X93*Inputs!$J$123)*$I$13</f>
        <v>19940855.103445459</v>
      </c>
      <c r="Y105" s="70">
        <f>Y78*Inputs!$M$75*IF(Inputs!$M$126&gt;0,Inputs!$M$126,Y93*Inputs!$J$123)*$I$13</f>
        <v>19940855.103445459</v>
      </c>
      <c r="Z105" s="70">
        <f>Z78*Inputs!$M$75*IF(Inputs!$M$126&gt;0,Inputs!$M$126,Z93*Inputs!$J$123)*$I$13</f>
        <v>19940855.103445459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67446201.537633687</v>
      </c>
      <c r="P106" s="70">
        <f>P79*Inputs!$M$75*IF(Inputs!$M$126&gt;0,Inputs!$M$126,P96*Inputs!$J$123)*$I$13</f>
        <v>79912046.903993234</v>
      </c>
      <c r="Q106" s="70">
        <f>Q79*Inputs!$M$75*IF(Inputs!$M$126&gt;0,Inputs!$M$126,Q96*Inputs!$J$123)*$I$13</f>
        <v>79880612.884913817</v>
      </c>
      <c r="R106" s="70">
        <f>R79*Inputs!$M$75*IF(Inputs!$M$126&gt;0,Inputs!$M$126,R96*Inputs!$J$123)*$I$13</f>
        <v>79987649.749881685</v>
      </c>
      <c r="S106" s="70">
        <f>S79*Inputs!$M$75*IF(Inputs!$M$126&gt;0,Inputs!$M$126,S96*Inputs!$J$123)*$I$13</f>
        <v>80622939.335481644</v>
      </c>
      <c r="T106" s="70">
        <f>T79*Inputs!$M$75*IF(Inputs!$M$126&gt;0,Inputs!$M$126,T96*Inputs!$J$123)*$I$13</f>
        <v>81579984.316376582</v>
      </c>
      <c r="U106" s="70">
        <f>U79*Inputs!$M$75*IF(Inputs!$M$126&gt;0,Inputs!$M$126,U96*Inputs!$J$123)*$I$13</f>
        <v>83811799.671015352</v>
      </c>
      <c r="V106" s="70">
        <f>V79*Inputs!$M$75*IF(Inputs!$M$126&gt;0,Inputs!$M$126,V96*Inputs!$J$123)*$I$13</f>
        <v>83811799.671015352</v>
      </c>
      <c r="W106" s="70">
        <f>W79*Inputs!$M$75*IF(Inputs!$M$126&gt;0,Inputs!$M$126,W96*Inputs!$J$123)*$I$13</f>
        <v>83811799.671015352</v>
      </c>
      <c r="X106" s="70">
        <f>X79*Inputs!$M$75*IF(Inputs!$M$126&gt;0,Inputs!$M$126,X96*Inputs!$J$123)*$I$13</f>
        <v>83811799.671015352</v>
      </c>
      <c r="Y106" s="70">
        <f>Y79*Inputs!$M$75*IF(Inputs!$M$126&gt;0,Inputs!$M$126,Y96*Inputs!$J$123)*$I$13</f>
        <v>83811799.671015352</v>
      </c>
      <c r="Z106" s="70">
        <f>Z79*Inputs!$M$75*IF(Inputs!$M$126&gt;0,Inputs!$M$126,Z96*Inputs!$J$123)*$I$13</f>
        <v>83811799.671015352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67446201.537633687</v>
      </c>
      <c r="P107" s="70">
        <f>P80*Inputs!$M$75*IF(Inputs!$M$126&gt;0,Inputs!$M$126,P99*Inputs!$J$123)*$I$13</f>
        <v>79912046.903993234</v>
      </c>
      <c r="Q107" s="70">
        <f>Q80*Inputs!$M$75*IF(Inputs!$M$126&gt;0,Inputs!$M$126,Q99*Inputs!$J$123)*$I$13</f>
        <v>79880612.884913817</v>
      </c>
      <c r="R107" s="70">
        <f>R80*Inputs!$M$75*IF(Inputs!$M$126&gt;0,Inputs!$M$126,R99*Inputs!$J$123)*$I$13</f>
        <v>79987649.749881685</v>
      </c>
      <c r="S107" s="70">
        <f>S80*Inputs!$M$75*IF(Inputs!$M$126&gt;0,Inputs!$M$126,S99*Inputs!$J$123)*$I$13</f>
        <v>80622939.335481644</v>
      </c>
      <c r="T107" s="70">
        <f>T80*Inputs!$M$75*IF(Inputs!$M$126&gt;0,Inputs!$M$126,T99*Inputs!$J$123)*$I$13</f>
        <v>81579984.316376582</v>
      </c>
      <c r="U107" s="70">
        <f>U80*Inputs!$M$75*IF(Inputs!$M$126&gt;0,Inputs!$M$126,U99*Inputs!$J$123)*$I$13</f>
        <v>83811799.671015352</v>
      </c>
      <c r="V107" s="70">
        <f>V80*Inputs!$M$75*IF(Inputs!$M$126&gt;0,Inputs!$M$126,V99*Inputs!$J$123)*$I$13</f>
        <v>83811799.671015352</v>
      </c>
      <c r="W107" s="70">
        <f>W80*Inputs!$M$75*IF(Inputs!$M$126&gt;0,Inputs!$M$126,W99*Inputs!$J$123)*$I$13</f>
        <v>83811799.671015352</v>
      </c>
      <c r="X107" s="70">
        <f>X80*Inputs!$M$75*IF(Inputs!$M$126&gt;0,Inputs!$M$126,X99*Inputs!$J$123)*$I$13</f>
        <v>83811799.671015352</v>
      </c>
      <c r="Y107" s="70">
        <f>Y80*Inputs!$M$75*IF(Inputs!$M$126&gt;0,Inputs!$M$126,Y99*Inputs!$J$123)*$I$13</f>
        <v>83811799.671015352</v>
      </c>
      <c r="Z107" s="70">
        <f>Z80*Inputs!$M$75*IF(Inputs!$M$126&gt;0,Inputs!$M$126,Z99*Inputs!$J$123)*$I$13</f>
        <v>83811799.671015352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0.11854666165418797</v>
      </c>
      <c r="P114" s="56">
        <f>Inputs!P64*$I$9</f>
        <v>0.12694898916078992</v>
      </c>
      <c r="Q114" s="56">
        <f>Inputs!Q64*$I$9</f>
        <v>0.1359961130391068</v>
      </c>
      <c r="R114" s="56">
        <f>Inputs!R64*$I$9</f>
        <v>0.14573944491218399</v>
      </c>
      <c r="S114" s="56">
        <f>Inputs!S64*$I$9</f>
        <v>0.15623459161626482</v>
      </c>
      <c r="T114" s="56">
        <f>Inputs!T64*$I$9</f>
        <v>0.16754170259074549</v>
      </c>
      <c r="U114" s="56">
        <f>Inputs!U64*$I$9</f>
        <v>0.17972584631057595</v>
      </c>
      <c r="V114" s="56">
        <f>Inputs!V64*$I$9</f>
        <v>0.19285741820448782</v>
      </c>
      <c r="W114" s="56">
        <f>Inputs!W64*$I$9</f>
        <v>0.2070125827088615</v>
      </c>
      <c r="X114" s="56">
        <f>Inputs!X64*$I$9</f>
        <v>0.22227375233095828</v>
      </c>
      <c r="Y114" s="56">
        <f>Inputs!Y64*$I$9</f>
        <v>0.23873010683813314</v>
      </c>
      <c r="Z114" s="56">
        <f>Inputs!Z64*$I$9</f>
        <v>0.25640483103955147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6.3734764330208578E-4</v>
      </c>
      <c r="P115" s="56">
        <f>Inputs!P65*$I$9</f>
        <v>6.8252144710102098E-4</v>
      </c>
      <c r="Q115" s="56">
        <f>Inputs!Q65*$I$9</f>
        <v>7.3116189805971386E-4</v>
      </c>
      <c r="R115" s="56">
        <f>Inputs!R65*$I$9</f>
        <v>7.8354540275367727E-4</v>
      </c>
      <c r="S115" s="56">
        <f>Inputs!S65*$I$9</f>
        <v>8.3997092266809036E-4</v>
      </c>
      <c r="T115" s="56">
        <f>Inputs!T65*$I$9</f>
        <v>9.0076184188572848E-4</v>
      </c>
      <c r="U115" s="56">
        <f>Inputs!U65*$I$9</f>
        <v>9.6626799091707499E-4</v>
      </c>
      <c r="V115" s="56">
        <f>Inputs!V65*$I$9</f>
        <v>1.0368678398090742E-3</v>
      </c>
      <c r="W115" s="56">
        <f>Inputs!W65*$I$9</f>
        <v>1.1129708747788251E-3</v>
      </c>
      <c r="X115" s="56">
        <f>Inputs!X65*$I$9</f>
        <v>1.1950201738223562E-3</v>
      </c>
      <c r="Y115" s="56">
        <f>Inputs!Y65*$I$9</f>
        <v>1.2834951980544792E-3</v>
      </c>
      <c r="Z115" s="56">
        <f>Inputs!Z65*$I$9</f>
        <v>1.3785205969868359E-3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6.3734764330208578E-4</v>
      </c>
      <c r="P116" s="56">
        <f>Inputs!P66*$I$9</f>
        <v>6.8252144710102098E-4</v>
      </c>
      <c r="Q116" s="56">
        <f>Inputs!Q66*$I$9</f>
        <v>7.3116189805971386E-4</v>
      </c>
      <c r="R116" s="56">
        <f>Inputs!R66*$I$9</f>
        <v>7.8354540275367727E-4</v>
      </c>
      <c r="S116" s="56">
        <f>Inputs!S66*$I$9</f>
        <v>8.3997092266809036E-4</v>
      </c>
      <c r="T116" s="56">
        <f>Inputs!T66*$I$9</f>
        <v>9.0076184188572848E-4</v>
      </c>
      <c r="U116" s="56">
        <f>Inputs!U66*$I$9</f>
        <v>9.6626799091707499E-4</v>
      </c>
      <c r="V116" s="56">
        <f>Inputs!V66*$I$9</f>
        <v>1.0368678398090742E-3</v>
      </c>
      <c r="W116" s="56">
        <f>Inputs!W66*$I$9</f>
        <v>1.1129708747788251E-3</v>
      </c>
      <c r="X116" s="56">
        <f>Inputs!X66*$I$9</f>
        <v>1.1950201738223562E-3</v>
      </c>
      <c r="Y116" s="56">
        <f>Inputs!Y66*$I$9</f>
        <v>1.2834951980544792E-3</v>
      </c>
      <c r="Z116" s="56">
        <f>Inputs!Z66*$I$9</f>
        <v>1.3785205969868359E-3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21">P103*P114*$T$37</f>
        <v>0</v>
      </c>
      <c r="Q119" s="70">
        <f t="shared" si="21"/>
        <v>0</v>
      </c>
      <c r="R119" s="70">
        <f t="shared" si="21"/>
        <v>0</v>
      </c>
      <c r="S119" s="70">
        <f t="shared" si="21"/>
        <v>0</v>
      </c>
      <c r="T119" s="70">
        <f t="shared" si="21"/>
        <v>0</v>
      </c>
      <c r="U119" s="70">
        <f t="shared" si="21"/>
        <v>0</v>
      </c>
      <c r="V119" s="70">
        <f t="shared" si="21"/>
        <v>0</v>
      </c>
      <c r="W119" s="70">
        <f t="shared" si="21"/>
        <v>0</v>
      </c>
      <c r="X119" s="70">
        <f t="shared" si="21"/>
        <v>0</v>
      </c>
      <c r="Y119" s="70">
        <f t="shared" si="21"/>
        <v>0</v>
      </c>
      <c r="Z119" s="70">
        <f t="shared" si="21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22">$O$16</f>
        <v>Network Performance</v>
      </c>
      <c r="E120" s="51"/>
      <c r="F120" s="51"/>
      <c r="G120" s="51"/>
      <c r="H120" s="51"/>
      <c r="I120" s="51"/>
      <c r="J120" s="86" t="str">
        <f t="shared" ref="J120:J121" si="23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4">P104*P115*$T$27</f>
        <v>0</v>
      </c>
      <c r="Q120" s="70">
        <f t="shared" si="24"/>
        <v>0</v>
      </c>
      <c r="R120" s="70">
        <f t="shared" si="24"/>
        <v>0</v>
      </c>
      <c r="S120" s="70">
        <f t="shared" si="24"/>
        <v>0</v>
      </c>
      <c r="T120" s="70">
        <f t="shared" si="24"/>
        <v>0</v>
      </c>
      <c r="U120" s="70">
        <f t="shared" si="24"/>
        <v>0</v>
      </c>
      <c r="V120" s="70">
        <f t="shared" si="24"/>
        <v>0</v>
      </c>
      <c r="W120" s="70">
        <f t="shared" si="24"/>
        <v>0</v>
      </c>
      <c r="X120" s="70">
        <f t="shared" si="24"/>
        <v>0</v>
      </c>
      <c r="Y120" s="70">
        <f t="shared" si="24"/>
        <v>0</v>
      </c>
      <c r="Z120" s="70">
        <f t="shared" si="24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22"/>
        <v>Network Performance</v>
      </c>
      <c r="E121" s="87"/>
      <c r="F121" s="87"/>
      <c r="G121" s="87"/>
      <c r="H121" s="87"/>
      <c r="I121" s="87"/>
      <c r="J121" s="86" t="str">
        <f t="shared" si="23"/>
        <v>Catastrophic</v>
      </c>
      <c r="K121" s="87"/>
      <c r="L121" s="87"/>
      <c r="M121" s="87"/>
      <c r="N121" s="87"/>
      <c r="O121" s="70">
        <f>O107*O116*$T$17</f>
        <v>8597.3355199376692</v>
      </c>
      <c r="P121" s="70">
        <f t="shared" ref="P121:Z121" si="25">P107*P116*$T$17</f>
        <v>10908.337178743626</v>
      </c>
      <c r="Q121" s="70">
        <f t="shared" si="25"/>
        <v>11681.132107021365</v>
      </c>
      <c r="R121" s="70">
        <f t="shared" si="25"/>
        <v>12534.791047718223</v>
      </c>
      <c r="S121" s="70">
        <f t="shared" si="25"/>
        <v>13544.1849483676</v>
      </c>
      <c r="T121" s="70">
        <f t="shared" si="25"/>
        <v>14696.827386765643</v>
      </c>
      <c r="U121" s="70">
        <f t="shared" si="25"/>
        <v>16196.931856651276</v>
      </c>
      <c r="V121" s="70">
        <f t="shared" si="25"/>
        <v>17380.351935079314</v>
      </c>
      <c r="W121" s="70">
        <f t="shared" si="25"/>
        <v>18656.018399327524</v>
      </c>
      <c r="X121" s="70">
        <f t="shared" si="25"/>
        <v>20031.358282244255</v>
      </c>
      <c r="Y121" s="70">
        <f t="shared" si="25"/>
        <v>21514.408483610438</v>
      </c>
      <c r="Z121" s="70">
        <f t="shared" si="25"/>
        <v>23107.258423405838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74610.132338651965</v>
      </c>
      <c r="P122" s="88">
        <f t="shared" ref="P122:Z122" si="26">P105*P114*$T$44</f>
        <v>88882.114141605925</v>
      </c>
      <c r="Q122" s="88">
        <f t="shared" si="26"/>
        <v>95109.498326272049</v>
      </c>
      <c r="R122" s="88">
        <f t="shared" si="26"/>
        <v>102313.52898484249</v>
      </c>
      <c r="S122" s="88">
        <f t="shared" si="26"/>
        <v>112162.79683655112</v>
      </c>
      <c r="T122" s="88">
        <f t="shared" si="26"/>
        <v>124288.9389962556</v>
      </c>
      <c r="U122" s="88">
        <f t="shared" si="26"/>
        <v>143355.48238493211</v>
      </c>
      <c r="V122" s="88">
        <f t="shared" si="26"/>
        <v>153829.67328161103</v>
      </c>
      <c r="W122" s="88">
        <f t="shared" si="26"/>
        <v>165120.31665549704</v>
      </c>
      <c r="X122" s="88">
        <f t="shared" si="26"/>
        <v>177293.14754123049</v>
      </c>
      <c r="Y122" s="88">
        <f t="shared" si="26"/>
        <v>190419.2987715707</v>
      </c>
      <c r="Z122" s="88">
        <f t="shared" si="26"/>
        <v>204517.26334332445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401.12974375619336</v>
      </c>
      <c r="P123" s="70">
        <f t="shared" ref="P123:Z123" si="27">P105*P115*$T$34</f>
        <v>477.86082871831138</v>
      </c>
      <c r="Q123" s="70">
        <f t="shared" si="27"/>
        <v>511.34138885092489</v>
      </c>
      <c r="R123" s="70">
        <f t="shared" si="27"/>
        <v>550.0727364776476</v>
      </c>
      <c r="S123" s="70">
        <f t="shared" si="27"/>
        <v>603.0257894438231</v>
      </c>
      <c r="T123" s="70">
        <f t="shared" si="27"/>
        <v>668.22010213040642</v>
      </c>
      <c r="U123" s="70">
        <f t="shared" si="27"/>
        <v>770.72839991898991</v>
      </c>
      <c r="V123" s="70">
        <f t="shared" si="27"/>
        <v>827.04125420220987</v>
      </c>
      <c r="W123" s="70">
        <f t="shared" si="27"/>
        <v>887.74363793277973</v>
      </c>
      <c r="X123" s="70">
        <f t="shared" si="27"/>
        <v>953.18896527543245</v>
      </c>
      <c r="Y123" s="70">
        <f t="shared" si="27"/>
        <v>1023.7596708148961</v>
      </c>
      <c r="Z123" s="70">
        <f t="shared" si="27"/>
        <v>1099.5551792651852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8">SUMIF($J$49:$J$51,$J124,$V$49:$V$51)*O114</f>
        <v>23015.817536267557</v>
      </c>
      <c r="P124" s="88">
        <f t="shared" si="28"/>
        <v>24647.128229233669</v>
      </c>
      <c r="Q124" s="88">
        <f t="shared" si="28"/>
        <v>26403.626046260088</v>
      </c>
      <c r="R124" s="88">
        <f t="shared" si="28"/>
        <v>28295.292546664845</v>
      </c>
      <c r="S124" s="88">
        <f t="shared" si="28"/>
        <v>30332.92378981298</v>
      </c>
      <c r="T124" s="88">
        <f t="shared" si="28"/>
        <v>32528.19778082698</v>
      </c>
      <c r="U124" s="88">
        <f t="shared" si="28"/>
        <v>34893.747554883994</v>
      </c>
      <c r="V124" s="88">
        <f t="shared" si="28"/>
        <v>37443.240374481902</v>
      </c>
      <c r="W124" s="88">
        <f t="shared" si="28"/>
        <v>40191.463554134862</v>
      </c>
      <c r="X124" s="88">
        <f t="shared" si="28"/>
        <v>43154.417470431836</v>
      </c>
      <c r="Y124" s="88">
        <f t="shared" si="28"/>
        <v>46349.416362548596</v>
      </c>
      <c r="Z124" s="88">
        <f t="shared" si="28"/>
        <v>49780.961557894261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9">SUMIF($J$49:$J$51,$J125,$V$49:$V$51)*O115</f>
        <v>2651.6253551115888</v>
      </c>
      <c r="P125" s="70">
        <f t="shared" si="29"/>
        <v>2839.566747535187</v>
      </c>
      <c r="Q125" s="70">
        <f t="shared" si="29"/>
        <v>3041.9308017551234</v>
      </c>
      <c r="R125" s="70">
        <f t="shared" si="29"/>
        <v>3259.8674815182658</v>
      </c>
      <c r="S125" s="70">
        <f t="shared" si="29"/>
        <v>3494.6205881669966</v>
      </c>
      <c r="T125" s="70">
        <f t="shared" si="29"/>
        <v>3747.5355309804395</v>
      </c>
      <c r="U125" s="70">
        <f t="shared" si="29"/>
        <v>4020.0677471306585</v>
      </c>
      <c r="V125" s="70">
        <f t="shared" si="29"/>
        <v>4313.7918259068347</v>
      </c>
      <c r="W125" s="70">
        <f t="shared" si="29"/>
        <v>4630.4113964778189</v>
      </c>
      <c r="X125" s="70">
        <f t="shared" si="29"/>
        <v>4971.7698434719359</v>
      </c>
      <c r="Y125" s="70">
        <f t="shared" si="29"/>
        <v>5339.8619200857884</v>
      </c>
      <c r="Z125" s="70">
        <f t="shared" si="29"/>
        <v>5735.2062189729222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30">SUMIF($J$49:$J$51,$J126,$V$49:$V$51)*O116</f>
        <v>6782.5469955401259</v>
      </c>
      <c r="P126" s="70">
        <f t="shared" si="30"/>
        <v>7263.2790582589405</v>
      </c>
      <c r="Q126" s="70">
        <f t="shared" si="30"/>
        <v>7780.9026001023867</v>
      </c>
      <c r="R126" s="70">
        <f t="shared" si="30"/>
        <v>8338.3590936058918</v>
      </c>
      <c r="S126" s="70">
        <f t="shared" si="30"/>
        <v>8938.8300368802502</v>
      </c>
      <c r="T126" s="70">
        <f t="shared" si="30"/>
        <v>9585.7568292341148</v>
      </c>
      <c r="U126" s="70">
        <f t="shared" si="30"/>
        <v>10282.862308435482</v>
      </c>
      <c r="V126" s="70">
        <f t="shared" si="30"/>
        <v>11034.174089408139</v>
      </c>
      <c r="W126" s="70">
        <f t="shared" si="30"/>
        <v>11844.049855969839</v>
      </c>
      <c r="X126" s="70">
        <f t="shared" si="30"/>
        <v>12717.204770029995</v>
      </c>
      <c r="Y126" s="70">
        <f t="shared" si="30"/>
        <v>13658.741176561432</v>
      </c>
      <c r="Z126" s="70">
        <f t="shared" si="30"/>
        <v>14669.985574813918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11916.849557522124</v>
      </c>
      <c r="P127" s="70">
        <f>Inputs!$J$27*$I$11</f>
        <v>11916.849557522124</v>
      </c>
      <c r="Q127" s="70">
        <f>Inputs!$J$27*$I$11</f>
        <v>11916.849557522124</v>
      </c>
      <c r="R127" s="70">
        <f>Inputs!$J$27*$I$11</f>
        <v>11916.849557522124</v>
      </c>
      <c r="S127" s="70">
        <f>Inputs!$J$27*$I$11</f>
        <v>11916.849557522124</v>
      </c>
      <c r="T127" s="70">
        <f>Inputs!$J$27*$I$11</f>
        <v>11916.849557522124</v>
      </c>
      <c r="U127" s="70">
        <f>Inputs!$J$27*$I$11</f>
        <v>11916.849557522124</v>
      </c>
      <c r="V127" s="70">
        <f>Inputs!$J$27*$I$11</f>
        <v>11916.849557522124</v>
      </c>
      <c r="W127" s="70">
        <f>Inputs!$J$27*$I$11</f>
        <v>11916.849557522124</v>
      </c>
      <c r="X127" s="70">
        <f>Inputs!$J$27*$I$11</f>
        <v>11916.849557522124</v>
      </c>
      <c r="Y127" s="70">
        <f>Inputs!$J$27*$I$11</f>
        <v>11916.849557522124</v>
      </c>
      <c r="Z127" s="70">
        <f>Inputs!$J$27*$I$11</f>
        <v>11916.849557522124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127975.43704678721</v>
      </c>
      <c r="P128" s="98">
        <f t="shared" ref="P128:Z128" si="31">SUM(P119:P127)</f>
        <v>146935.13574161779</v>
      </c>
      <c r="Q128" s="98">
        <f t="shared" si="31"/>
        <v>156445.28082778407</v>
      </c>
      <c r="R128" s="98">
        <f t="shared" si="31"/>
        <v>167208.76144834951</v>
      </c>
      <c r="S128" s="98">
        <f t="shared" si="31"/>
        <v>180993.23154674488</v>
      </c>
      <c r="T128" s="98">
        <f t="shared" si="31"/>
        <v>197432.32618371531</v>
      </c>
      <c r="U128" s="98">
        <f t="shared" si="31"/>
        <v>221436.66980947467</v>
      </c>
      <c r="V128" s="98">
        <f t="shared" si="31"/>
        <v>236745.12231821156</v>
      </c>
      <c r="W128" s="98">
        <f t="shared" si="31"/>
        <v>253246.85305686199</v>
      </c>
      <c r="X128" s="98">
        <f t="shared" si="31"/>
        <v>271037.936430206</v>
      </c>
      <c r="Y128" s="98">
        <f t="shared" si="31"/>
        <v>290222.33594271395</v>
      </c>
      <c r="Z128" s="98">
        <f t="shared" si="31"/>
        <v>310827.07985519868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Inputs!O22*'Base Case'!$I$10</f>
        <v>0</v>
      </c>
      <c r="P135" s="70">
        <f>Inputs!P22*'Base Case'!$I$10</f>
        <v>0</v>
      </c>
      <c r="Q135" s="70">
        <f>Inputs!Q22*'Base Case'!$I$10</f>
        <v>0</v>
      </c>
      <c r="R135" s="70">
        <f>Inputs!R22*'Base Case'!$I$10</f>
        <v>51812.389380530978</v>
      </c>
      <c r="S135" s="70">
        <f>Inputs!S22*'Base Case'!$I$10</f>
        <v>777185.84070796461</v>
      </c>
      <c r="T135" s="70">
        <f>Inputs!T22*'Base Case'!$I$10</f>
        <v>3054858.4778761063</v>
      </c>
      <c r="U135" s="70">
        <f>Inputs!U22*'Base Case'!$I$10</f>
        <v>0</v>
      </c>
      <c r="V135" s="70">
        <f>Inputs!V22*'Base Case'!$I$10</f>
        <v>0</v>
      </c>
      <c r="W135" s="70">
        <f>Inputs!W22*'Base Case'!$I$10</f>
        <v>0</v>
      </c>
      <c r="X135" s="70">
        <f>Inputs!X22*'Base Case'!$I$10</f>
        <v>0</v>
      </c>
      <c r="Y135" s="70">
        <f>Inputs!Y22*'Base Case'!$I$10</f>
        <v>0</v>
      </c>
      <c r="Z135" s="70">
        <f>Inputs!Z22*'Base Case'!$I$10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32">(P135&lt;&gt;0)*1</f>
        <v>0</v>
      </c>
      <c r="Q136" s="70">
        <f t="shared" si="32"/>
        <v>0</v>
      </c>
      <c r="R136" s="70">
        <f t="shared" si="32"/>
        <v>1</v>
      </c>
      <c r="S136" s="70">
        <f t="shared" si="32"/>
        <v>1</v>
      </c>
      <c r="T136" s="70">
        <f t="shared" si="32"/>
        <v>1</v>
      </c>
      <c r="U136" s="70">
        <f t="shared" si="32"/>
        <v>0</v>
      </c>
      <c r="V136" s="70">
        <f t="shared" si="32"/>
        <v>0</v>
      </c>
      <c r="W136" s="70">
        <f t="shared" si="32"/>
        <v>0</v>
      </c>
      <c r="X136" s="70">
        <f t="shared" si="32"/>
        <v>0</v>
      </c>
      <c r="Y136" s="70">
        <f t="shared" si="32"/>
        <v>0</v>
      </c>
      <c r="Z136" s="70">
        <f t="shared" si="32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1.0557562500000002</v>
      </c>
      <c r="S137" s="56">
        <f>(S136=1)*(1+Inputs!$J$11)^(SUM(S136:$Z136)-1)</f>
        <v>1.0275000000000001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PMT(Inputs!$J$11,Inputs!$J$12,-SUMPRODUCT('Base Case'!O135:Z135,'Base Case'!O137:Z137),0,0)</f>
        <v>144760.29102283236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5077.6141592920358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149837.90518212441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33">O2</f>
        <v>2019</v>
      </c>
      <c r="P146" s="86">
        <f t="shared" si="33"/>
        <v>2020</v>
      </c>
      <c r="Q146" s="86">
        <f t="shared" si="33"/>
        <v>2021</v>
      </c>
      <c r="R146" s="86">
        <f t="shared" si="33"/>
        <v>2022</v>
      </c>
      <c r="S146" s="86">
        <f t="shared" si="33"/>
        <v>2023</v>
      </c>
      <c r="T146" s="86">
        <f t="shared" si="33"/>
        <v>2024</v>
      </c>
      <c r="U146" s="86">
        <f t="shared" si="33"/>
        <v>2025</v>
      </c>
      <c r="V146" s="86">
        <f t="shared" si="33"/>
        <v>2026</v>
      </c>
      <c r="W146" s="86">
        <f t="shared" si="33"/>
        <v>2027</v>
      </c>
      <c r="X146" s="86">
        <f t="shared" si="33"/>
        <v>2028</v>
      </c>
      <c r="Y146" s="86">
        <f t="shared" si="33"/>
        <v>2029</v>
      </c>
      <c r="Z146" s="86">
        <f t="shared" si="33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127975.43704678721</v>
      </c>
      <c r="P147" s="70">
        <f t="shared" ref="P147:Z147" si="34">P128</f>
        <v>146935.13574161779</v>
      </c>
      <c r="Q147" s="70">
        <f t="shared" si="34"/>
        <v>156445.28082778407</v>
      </c>
      <c r="R147" s="70">
        <f t="shared" si="34"/>
        <v>167208.76144834951</v>
      </c>
      <c r="S147" s="70">
        <f t="shared" si="34"/>
        <v>180993.23154674488</v>
      </c>
      <c r="T147" s="70">
        <f t="shared" si="34"/>
        <v>197432.32618371531</v>
      </c>
      <c r="U147" s="70">
        <f t="shared" si="34"/>
        <v>221436.66980947467</v>
      </c>
      <c r="V147" s="70">
        <f t="shared" si="34"/>
        <v>236745.12231821156</v>
      </c>
      <c r="W147" s="70">
        <f t="shared" si="34"/>
        <v>253246.85305686199</v>
      </c>
      <c r="X147" s="70">
        <f t="shared" si="34"/>
        <v>271037.936430206</v>
      </c>
      <c r="Y147" s="70">
        <f t="shared" si="34"/>
        <v>290222.33594271395</v>
      </c>
      <c r="Z147" s="70">
        <f t="shared" si="34"/>
        <v>310827.07985519868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149837.90518212441</v>
      </c>
      <c r="P148" s="70">
        <f t="shared" ref="P148:Z148" si="35">$J$140</f>
        <v>149837.90518212441</v>
      </c>
      <c r="Q148" s="70">
        <f t="shared" si="35"/>
        <v>149837.90518212441</v>
      </c>
      <c r="R148" s="70">
        <f t="shared" si="35"/>
        <v>149837.90518212441</v>
      </c>
      <c r="S148" s="70">
        <f t="shared" si="35"/>
        <v>149837.90518212441</v>
      </c>
      <c r="T148" s="70">
        <f t="shared" si="35"/>
        <v>149837.90518212441</v>
      </c>
      <c r="U148" s="70">
        <f t="shared" si="35"/>
        <v>149837.90518212441</v>
      </c>
      <c r="V148" s="70">
        <f t="shared" si="35"/>
        <v>149837.90518212441</v>
      </c>
      <c r="W148" s="70">
        <f t="shared" si="35"/>
        <v>149837.90518212441</v>
      </c>
      <c r="X148" s="70">
        <f t="shared" si="35"/>
        <v>149837.90518212441</v>
      </c>
      <c r="Y148" s="70">
        <f t="shared" si="35"/>
        <v>149837.90518212441</v>
      </c>
      <c r="Z148" s="70">
        <f t="shared" si="35"/>
        <v>149837.90518212441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36">(P147&gt;=P148)</f>
        <v>0</v>
      </c>
      <c r="Q149" s="99" t="b">
        <f t="shared" si="36"/>
        <v>1</v>
      </c>
      <c r="R149" s="99" t="b">
        <f t="shared" si="36"/>
        <v>1</v>
      </c>
      <c r="S149" s="99" t="b">
        <f t="shared" si="36"/>
        <v>1</v>
      </c>
      <c r="T149" s="99" t="b">
        <f t="shared" si="36"/>
        <v>1</v>
      </c>
      <c r="U149" s="99" t="b">
        <f t="shared" si="36"/>
        <v>1</v>
      </c>
      <c r="V149" s="99" t="b">
        <f t="shared" si="36"/>
        <v>1</v>
      </c>
      <c r="W149" s="99" t="b">
        <f t="shared" si="36"/>
        <v>1</v>
      </c>
      <c r="X149" s="99" t="b">
        <f t="shared" si="36"/>
        <v>1</v>
      </c>
      <c r="Y149" s="99" t="b">
        <f t="shared" si="36"/>
        <v>1</v>
      </c>
      <c r="Z149" s="99" t="b">
        <f t="shared" si="36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</sheetData>
  <pageMargins left="0.7" right="0.7" top="0.75" bottom="0.75" header="0.3" footer="0.3"/>
  <pageSetup paperSize="9" orientation="portrait" r:id="rId1"/>
  <ignoredErrors>
    <ignoredError sqref="D87:F99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North Richmond Transformer No.1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A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A: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29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A'!$I$8,Inputs!$D$52:$D$57,0),MATCH('Scenario A'!$D9,Inputs!$D$52:$O$52,0))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A'!$I$8,Inputs!$D$52:$D$57,0),MATCH('Scenario A'!$D10,Inputs!$D$52:$O$52,0))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A'!$I$8,Inputs!$D$52:$D$57,0),MATCH('Scenario A'!$D11,Inputs!$D$52:$O$52,0))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A'!$I$8,Inputs!$D$52:$D$57,0),MATCH('Scenario A'!$D12,Inputs!$D$52:$O$52,0))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A'!$I$8,Inputs!$D$52:$D$57,0),MATCH('Scenario A'!$D13,Inputs!$D$52:$O$52,0))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A'!$I$8,Inputs!$D$52:$D$57,0),MATCH('Scenario A'!$D14,Inputs!$D$52:$O$52,0))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A'!J17,Inputs!$D$64:$D$66,0))</f>
        <v>3</v>
      </c>
      <c r="J17" s="100" t="s">
        <v>40</v>
      </c>
      <c r="K17" s="101" t="str">
        <f>'Base Case'!K17</f>
        <v>Unserved energy</v>
      </c>
      <c r="L17" s="102"/>
      <c r="M17" s="102"/>
      <c r="N17" s="103"/>
      <c r="O17" s="63">
        <f>O107</f>
        <v>57666502.314676799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11533300.46293536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A'!J18,Inputs!$D$64:$D$66,0))</f>
        <v>3</v>
      </c>
      <c r="J18" s="104" t="s">
        <v>40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A'!J19,Inputs!$D$64:$D$66,0))</f>
        <v>3</v>
      </c>
      <c r="J19" s="104" t="s">
        <v>40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42795388.099056214</v>
      </c>
      <c r="R19" s="71">
        <v>0</v>
      </c>
      <c r="S19" s="72">
        <v>0</v>
      </c>
      <c r="T19" s="73">
        <f>'Base Case'!$T19</f>
        <v>0.2</v>
      </c>
      <c r="U19" s="74">
        <f t="shared" si="0"/>
        <v>8559077.6198112424</v>
      </c>
      <c r="V19" s="75">
        <f t="shared" si="1"/>
        <v>8559077.6198112424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A'!J20,Inputs!$D$64:$D$66,0))</f>
        <v>3</v>
      </c>
      <c r="J20" s="104" t="s">
        <v>40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12816727.136283187</v>
      </c>
      <c r="S20" s="72">
        <v>0</v>
      </c>
      <c r="T20" s="73">
        <f>'Base Case'!$T20</f>
        <v>0.2</v>
      </c>
      <c r="U20" s="74">
        <f t="shared" si="0"/>
        <v>2563345.4272566377</v>
      </c>
      <c r="V20" s="75">
        <f t="shared" si="1"/>
        <v>2563345.4272566377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A'!J21,Inputs!$D$64:$D$66,0))</f>
        <v>3</v>
      </c>
      <c r="J21" s="104" t="s">
        <v>40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2314770.307964602</v>
      </c>
      <c r="T21" s="73">
        <f>'Base Case'!$T21</f>
        <v>0.2</v>
      </c>
      <c r="U21" s="74">
        <f t="shared" si="0"/>
        <v>462954.06159292045</v>
      </c>
      <c r="V21" s="75">
        <f t="shared" si="1"/>
        <v>462954.06159292045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A'!J22,Inputs!$D$64:$D$66,0))</f>
        <v>3</v>
      </c>
      <c r="J22" s="104" t="s">
        <v>40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56993.62831858408</v>
      </c>
      <c r="R22" s="71">
        <v>0</v>
      </c>
      <c r="S22" s="72">
        <v>0</v>
      </c>
      <c r="T22" s="73">
        <f>'Base Case'!$T22</f>
        <v>0.2</v>
      </c>
      <c r="U22" s="74">
        <f t="shared" si="0"/>
        <v>11398.725663716818</v>
      </c>
      <c r="V22" s="75">
        <f t="shared" si="1"/>
        <v>11398.725663716818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A'!J23,Inputs!$D$64:$D$66,0))</f>
        <v>3</v>
      </c>
      <c r="J23" s="104" t="s">
        <v>40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A'!J24,Inputs!$D$64:$D$66,0))</f>
        <v>3</v>
      </c>
      <c r="J24" s="104" t="s">
        <v>40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A'!J25,Inputs!$D$64:$D$66,0))</f>
        <v>3</v>
      </c>
      <c r="J25" s="104" t="s">
        <v>40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A'!J26,Inputs!$D$64:$D$66,0))</f>
        <v>3</v>
      </c>
      <c r="J26" s="108" t="s">
        <v>40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A'!J27,Inputs!$D$64:$D$66,0))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A'!J28,Inputs!$D$64:$D$66,0))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A'!J29,Inputs!$D$64:$D$66,0))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A'!J30,Inputs!$D$64:$D$66,0))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4272242.3787610624</v>
      </c>
      <c r="S30" s="72">
        <v>0</v>
      </c>
      <c r="T30" s="73">
        <f>'Base Case'!$T30</f>
        <v>0.8</v>
      </c>
      <c r="U30" s="74">
        <f t="shared" si="0"/>
        <v>3417793.9030088503</v>
      </c>
      <c r="V30" s="75">
        <f t="shared" si="1"/>
        <v>3417793.9030088503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A'!J31,Inputs!$D$64:$D$66,0))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779859.3600000001</v>
      </c>
      <c r="T31" s="73">
        <f>'Base Case'!$T31</f>
        <v>0.8</v>
      </c>
      <c r="U31" s="74">
        <f t="shared" si="0"/>
        <v>623887.48800000013</v>
      </c>
      <c r="V31" s="75">
        <f t="shared" si="1"/>
        <v>623887.48800000013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A'!J32,Inputs!$D$64:$D$66,0))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0.8</v>
      </c>
      <c r="U32" s="74">
        <f t="shared" si="0"/>
        <v>45594.90265486727</v>
      </c>
      <c r="V32" s="75">
        <f t="shared" si="1"/>
        <v>45594.90265486727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A'!J33,Inputs!$D$64:$D$66,0))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A'!J34,Inputs!$D$64:$D$66,0))</f>
        <v>2</v>
      </c>
      <c r="J34" s="104" t="s">
        <v>39</v>
      </c>
      <c r="K34" s="105" t="str">
        <f>'Base Case'!K34</f>
        <v>Coincident outage risk</v>
      </c>
      <c r="L34" s="106"/>
      <c r="M34" s="106"/>
      <c r="N34" s="107"/>
      <c r="O34" s="74">
        <f>O105</f>
        <v>11992991.07435249</v>
      </c>
      <c r="P34" s="71">
        <v>0</v>
      </c>
      <c r="Q34" s="70">
        <f>Inputs!$L$161*$I$11</f>
        <v>8127086.95303257</v>
      </c>
      <c r="R34" s="71">
        <v>0</v>
      </c>
      <c r="S34" s="72">
        <v>0</v>
      </c>
      <c r="T34" s="73">
        <f>'Base Case'!$T34</f>
        <v>0.04</v>
      </c>
      <c r="U34" s="74">
        <f t="shared" si="0"/>
        <v>804803.1210954024</v>
      </c>
      <c r="V34" s="75">
        <f t="shared" si="1"/>
        <v>325083.47812130279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A'!J35,Inputs!$D$64:$D$66,0))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A'!J36,Inputs!$D$64:$D$66,0))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A'!J37,Inputs!$D$64:$D$66,0))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A'!J38,Inputs!$D$64:$D$66,0))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A'!J39,Inputs!$D$64:$D$66,0))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A'!J40,Inputs!$D$64:$D$66,0))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13108.534513274337</v>
      </c>
      <c r="S40" s="72">
        <v>0</v>
      </c>
      <c r="T40" s="73">
        <f>'Base Case'!$T40</f>
        <v>1</v>
      </c>
      <c r="U40" s="74">
        <f t="shared" si="0"/>
        <v>13108.534513274337</v>
      </c>
      <c r="V40" s="75">
        <f t="shared" si="1"/>
        <v>13108.534513274337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A'!J41,Inputs!$D$64:$D$66,0))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57169.790442477875</v>
      </c>
      <c r="T41" s="73">
        <f>'Base Case'!$T41</f>
        <v>1</v>
      </c>
      <c r="U41" s="74">
        <f t="shared" si="0"/>
        <v>57169.790442477875</v>
      </c>
      <c r="V41" s="75">
        <f t="shared" si="1"/>
        <v>57169.790442477875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A'!J42,Inputs!$D$64:$D$66,0))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A'!J43,Inputs!$D$64:$D$66,0))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A'!J44,Inputs!$D$64:$D$66,0))</f>
        <v>1</v>
      </c>
      <c r="J44" s="104" t="s">
        <v>38</v>
      </c>
      <c r="K44" s="105" t="str">
        <f>'Base Case'!K44</f>
        <v>Coincident outage risk</v>
      </c>
      <c r="L44" s="106"/>
      <c r="M44" s="106"/>
      <c r="N44" s="107"/>
      <c r="O44" s="74">
        <f>O105</f>
        <v>11992991.07435249</v>
      </c>
      <c r="P44" s="71">
        <v>0</v>
      </c>
      <c r="Q44" s="70">
        <f>SUM(Inputs!$J$161,Inputs!$L$161*(Inputs!$J$128/Inputs!$L$128))*$I$11</f>
        <v>1612517.2525858274</v>
      </c>
      <c r="R44" s="71">
        <v>0</v>
      </c>
      <c r="S44" s="72">
        <v>0</v>
      </c>
      <c r="T44" s="73">
        <f>'Base Case'!$T44</f>
        <v>0.04</v>
      </c>
      <c r="U44" s="74">
        <f t="shared" si="0"/>
        <v>544220.3330775327</v>
      </c>
      <c r="V44" s="75">
        <f t="shared" si="1"/>
        <v>64500.690103433095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A'!J45,Inputs!$D$64:$D$66,0))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A'!J46,Inputs!$D$64:$D$66,0))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A'!J49,Inputs!$D$64:$D$66,0))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11992991.07435249</v>
      </c>
      <c r="P49" s="70">
        <f t="shared" ref="P49:V49" si="2">SUMIF($I$17:$I$46,$I49,P$17:P$46)</f>
        <v>8261.6387603969597</v>
      </c>
      <c r="Q49" s="70">
        <f t="shared" si="2"/>
        <v>1669510.8809044114</v>
      </c>
      <c r="R49" s="70">
        <f t="shared" si="2"/>
        <v>13108.534513274337</v>
      </c>
      <c r="S49" s="70">
        <f t="shared" si="2"/>
        <v>57169.790442477875</v>
      </c>
      <c r="T49" s="56">
        <f>U49/SUM(O49:S49)</f>
        <v>4.9468877914831948E-2</v>
      </c>
      <c r="U49" s="70">
        <f t="shared" si="2"/>
        <v>679753.92511226598</v>
      </c>
      <c r="V49" s="70">
        <f t="shared" si="2"/>
        <v>200034.28213816634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A'!J50,Inputs!$D$64:$D$66,0))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11992991.07435249</v>
      </c>
      <c r="P50" s="70">
        <f t="shared" si="3"/>
        <v>28915.735661389357</v>
      </c>
      <c r="Q50" s="70">
        <f t="shared" si="3"/>
        <v>8184080.5813511545</v>
      </c>
      <c r="R50" s="70">
        <f t="shared" si="3"/>
        <v>4272242.3787610624</v>
      </c>
      <c r="S50" s="70">
        <f t="shared" si="3"/>
        <v>779859.3600000001</v>
      </c>
      <c r="T50" s="56">
        <f t="shared" ref="T50:T51" si="4">U50/SUM(O50:S50)</f>
        <v>0.19459951930511274</v>
      </c>
      <c r="U50" s="70">
        <f t="shared" si="3"/>
        <v>4915212.0032882318</v>
      </c>
      <c r="V50" s="70">
        <f t="shared" si="3"/>
        <v>4435492.3603141317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A'!J51,Inputs!$D$64:$D$66,0))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57666502.314676799</v>
      </c>
      <c r="P51" s="70">
        <f t="shared" si="3"/>
        <v>28915.735661389357</v>
      </c>
      <c r="Q51" s="70">
        <f t="shared" si="3"/>
        <v>42852381.7273748</v>
      </c>
      <c r="R51" s="70">
        <f t="shared" si="3"/>
        <v>12816727.136283187</v>
      </c>
      <c r="S51" s="70">
        <f t="shared" si="3"/>
        <v>2314770.307964602</v>
      </c>
      <c r="T51" s="56">
        <f t="shared" si="4"/>
        <v>0.19999999999999998</v>
      </c>
      <c r="U51" s="70">
        <f t="shared" si="3"/>
        <v>23135859.444392156</v>
      </c>
      <c r="V51" s="70">
        <f t="shared" si="3"/>
        <v>11602558.981456794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28730825.372792654</v>
      </c>
      <c r="V52" s="88">
        <f>SUM(V49:V51)</f>
        <v>16238085.623909092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A: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97.1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65.2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32.200000000000003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48.069049999999997</v>
      </c>
      <c r="P69" s="70">
        <f>Inputs!P185*$I$12</f>
        <v>49.69735</v>
      </c>
      <c r="Q69" s="70">
        <f>Inputs!Q185*$I$12</f>
        <v>49.622300000000003</v>
      </c>
      <c r="R69" s="70">
        <f>Inputs!R185*$I$12</f>
        <v>49.624199999999995</v>
      </c>
      <c r="S69" s="70">
        <f>Inputs!S185*$I$12</f>
        <v>50.26925</v>
      </c>
      <c r="T69" s="70">
        <f>Inputs!T185*$I$12</f>
        <v>50.599849999999996</v>
      </c>
      <c r="U69" s="70">
        <f>Inputs!U185*$I$12</f>
        <v>52.683199999999999</v>
      </c>
      <c r="V69" s="70">
        <f>Inputs!V185*$I$12</f>
        <v>52.683199999999999</v>
      </c>
      <c r="W69" s="70">
        <f>Inputs!W185*$I$12</f>
        <v>52.683199999999999</v>
      </c>
      <c r="X69" s="70">
        <f>Inputs!X185*$I$12</f>
        <v>52.683199999999999</v>
      </c>
      <c r="Y69" s="70">
        <f>Inputs!Y185*$I$12</f>
        <v>52.683199999999999</v>
      </c>
      <c r="Z69" s="70">
        <f>Inputs!Z185*$I$12</f>
        <v>52.683199999999999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44.293749999999996</v>
      </c>
      <c r="P70" s="70">
        <f>Inputs!P186*$I$12</f>
        <v>45.979050000000001</v>
      </c>
      <c r="Q70" s="70">
        <f>Inputs!Q186*$I$12</f>
        <v>45.984749999999998</v>
      </c>
      <c r="R70" s="70">
        <f>Inputs!R186*$I$12</f>
        <v>46.07405</v>
      </c>
      <c r="S70" s="70">
        <f>Inputs!S186*$I$12</f>
        <v>46.332450000000001</v>
      </c>
      <c r="T70" s="70">
        <f>Inputs!T186*$I$12</f>
        <v>46.996499999999997</v>
      </c>
      <c r="U70" s="70">
        <f>Inputs!U186*$I$12</f>
        <v>47.982599999999998</v>
      </c>
      <c r="V70" s="70">
        <f>Inputs!V186*$I$12</f>
        <v>47.982599999999998</v>
      </c>
      <c r="W70" s="70">
        <f>Inputs!W186*$I$12</f>
        <v>47.982599999999998</v>
      </c>
      <c r="X70" s="70">
        <f>Inputs!X186*$I$12</f>
        <v>47.982599999999998</v>
      </c>
      <c r="Y70" s="70">
        <f>Inputs!Y186*$I$12</f>
        <v>47.982599999999998</v>
      </c>
      <c r="Z70" s="70">
        <f>Inputs!Z186*$I$12</f>
        <v>47.982599999999998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45.426339999999996</v>
      </c>
      <c r="P71" s="70">
        <f>Inputs!P187*$I$12</f>
        <v>47.094539999999995</v>
      </c>
      <c r="Q71" s="70">
        <f>Inputs!Q187*$I$12</f>
        <v>47.076014999999998</v>
      </c>
      <c r="R71" s="70">
        <f>Inputs!R187*$I$12</f>
        <v>47.139094999999998</v>
      </c>
      <c r="S71" s="70">
        <f>Inputs!S187*$I$12</f>
        <v>47.513489999999997</v>
      </c>
      <c r="T71" s="70">
        <f>Inputs!T187*$I$12</f>
        <v>48.077504999999995</v>
      </c>
      <c r="U71" s="70">
        <f>Inputs!U187*$I$12</f>
        <v>49.392780000000002</v>
      </c>
      <c r="V71" s="70">
        <f>Inputs!V187*$I$12</f>
        <v>49.392780000000002</v>
      </c>
      <c r="W71" s="70">
        <f>Inputs!W187*$I$12</f>
        <v>49.392780000000002</v>
      </c>
      <c r="X71" s="70">
        <f>Inputs!X187*$I$12</f>
        <v>49.392780000000002</v>
      </c>
      <c r="Y71" s="70">
        <f>Inputs!Y187*$I$12</f>
        <v>49.392780000000002</v>
      </c>
      <c r="Z71" s="70">
        <f>Inputs!Z187*$I$12</f>
        <v>49.392780000000002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96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96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96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13.226339999999993</v>
      </c>
      <c r="P78" s="70">
        <f t="shared" si="5"/>
        <v>14.894539999999992</v>
      </c>
      <c r="Q78" s="70">
        <f t="shared" si="5"/>
        <v>14.876014999999995</v>
      </c>
      <c r="R78" s="70">
        <f t="shared" si="5"/>
        <v>14.939094999999995</v>
      </c>
      <c r="S78" s="70">
        <f t="shared" si="5"/>
        <v>15.313489999999994</v>
      </c>
      <c r="T78" s="70">
        <f t="shared" si="5"/>
        <v>15.877504999999992</v>
      </c>
      <c r="U78" s="70">
        <f t="shared" si="5"/>
        <v>17.192779999999999</v>
      </c>
      <c r="V78" s="70">
        <f t="shared" si="5"/>
        <v>17.192779999999999</v>
      </c>
      <c r="W78" s="70">
        <f t="shared" si="5"/>
        <v>17.192779999999999</v>
      </c>
      <c r="X78" s="70">
        <f t="shared" si="5"/>
        <v>17.192779999999999</v>
      </c>
      <c r="Y78" s="70">
        <f t="shared" si="5"/>
        <v>17.192779999999999</v>
      </c>
      <c r="Z78" s="70">
        <f t="shared" si="5"/>
        <v>17.192779999999999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96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45.426339999999996</v>
      </c>
      <c r="P79" s="70">
        <f t="shared" si="5"/>
        <v>47.094539999999995</v>
      </c>
      <c r="Q79" s="70">
        <f t="shared" si="5"/>
        <v>47.076014999999998</v>
      </c>
      <c r="R79" s="70">
        <f t="shared" si="5"/>
        <v>47.139094999999998</v>
      </c>
      <c r="S79" s="70">
        <f t="shared" si="5"/>
        <v>47.513489999999997</v>
      </c>
      <c r="T79" s="70">
        <f t="shared" si="5"/>
        <v>48.077504999999995</v>
      </c>
      <c r="U79" s="70">
        <f t="shared" si="5"/>
        <v>49.392780000000002</v>
      </c>
      <c r="V79" s="70">
        <f t="shared" si="5"/>
        <v>49.392780000000002</v>
      </c>
      <c r="W79" s="70">
        <f t="shared" si="5"/>
        <v>49.392780000000002</v>
      </c>
      <c r="X79" s="70">
        <f t="shared" si="5"/>
        <v>49.392780000000002</v>
      </c>
      <c r="Y79" s="70">
        <f t="shared" si="5"/>
        <v>49.392780000000002</v>
      </c>
      <c r="Z79" s="70">
        <f t="shared" si="5"/>
        <v>49.392780000000002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9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45.426339999999996</v>
      </c>
      <c r="P80" s="70">
        <f t="shared" si="5"/>
        <v>47.094539999999995</v>
      </c>
      <c r="Q80" s="70">
        <f t="shared" si="5"/>
        <v>47.076014999999998</v>
      </c>
      <c r="R80" s="70">
        <f t="shared" si="5"/>
        <v>47.139094999999998</v>
      </c>
      <c r="S80" s="70">
        <f t="shared" si="5"/>
        <v>47.513489999999997</v>
      </c>
      <c r="T80" s="70">
        <f t="shared" si="5"/>
        <v>48.077504999999995</v>
      </c>
      <c r="U80" s="70">
        <f t="shared" si="5"/>
        <v>49.392780000000002</v>
      </c>
      <c r="V80" s="70">
        <f t="shared" si="5"/>
        <v>49.392780000000002</v>
      </c>
      <c r="W80" s="70">
        <f t="shared" si="5"/>
        <v>49.392780000000002</v>
      </c>
      <c r="X80" s="70">
        <f t="shared" si="5"/>
        <v>49.392780000000002</v>
      </c>
      <c r="Y80" s="70">
        <f t="shared" si="5"/>
        <v>49.392780000000002</v>
      </c>
      <c r="Z80" s="70">
        <f t="shared" si="5"/>
        <v>49.392780000000002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167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168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5</v>
      </c>
      <c r="P94" s="70">
        <f>ROUNDUP(ROUNDUP(P79/Inputs!$J$114,0)/(Inputs!$J$118*Inputs!$J$115*Inputs!$J$114),0)+1</f>
        <v>5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5</v>
      </c>
      <c r="S94" s="70">
        <f>ROUNDUP(ROUNDUP(S79/Inputs!$J$114,0)/(Inputs!$J$118*Inputs!$J$115*Inputs!$J$114),0)+1</f>
        <v>5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1.5</v>
      </c>
      <c r="P95" s="70">
        <f t="shared" ref="P95:Z95" si="13">MAX(0,((P94-1)-1)/2)</f>
        <v>1.5</v>
      </c>
      <c r="Q95" s="70">
        <f t="shared" si="13"/>
        <v>1.5</v>
      </c>
      <c r="R95" s="70">
        <f t="shared" si="13"/>
        <v>1.5</v>
      </c>
      <c r="S95" s="70">
        <f t="shared" si="13"/>
        <v>1.5</v>
      </c>
      <c r="T95" s="70">
        <f t="shared" si="13"/>
        <v>2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3.5</v>
      </c>
      <c r="P96" s="93">
        <f t="shared" ref="P96:Z96" si="14">IFERROR((P94-P95)/P94,0)*MAX(0,P94)</f>
        <v>3.5</v>
      </c>
      <c r="Q96" s="93">
        <f t="shared" si="14"/>
        <v>3.5</v>
      </c>
      <c r="R96" s="93">
        <f t="shared" si="14"/>
        <v>3.5</v>
      </c>
      <c r="S96" s="93">
        <f t="shared" si="14"/>
        <v>3.5</v>
      </c>
      <c r="T96" s="93">
        <f t="shared" si="14"/>
        <v>4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5</v>
      </c>
      <c r="P97" s="70">
        <f>ROUNDUP(ROUNDUP(P80/Inputs!$J$114,0)/(Inputs!$J$118*Inputs!$J$115*Inputs!$J$114),0)+1</f>
        <v>5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5</v>
      </c>
      <c r="S97" s="70">
        <f>ROUNDUP(ROUNDUP(S80/Inputs!$J$114,0)/(Inputs!$J$118*Inputs!$J$115*Inputs!$J$114),0)+1</f>
        <v>5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1.5</v>
      </c>
      <c r="P98" s="70">
        <f t="shared" ref="P98:Z98" si="15">MAX(0,((P97-1)-1)/2)</f>
        <v>1.5</v>
      </c>
      <c r="Q98" s="70">
        <f t="shared" si="15"/>
        <v>1.5</v>
      </c>
      <c r="R98" s="70">
        <f t="shared" si="15"/>
        <v>1.5</v>
      </c>
      <c r="S98" s="70">
        <f t="shared" si="15"/>
        <v>1.5</v>
      </c>
      <c r="T98" s="70">
        <f t="shared" si="15"/>
        <v>2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3.5</v>
      </c>
      <c r="P99" s="93">
        <f t="shared" ref="P99:Z99" si="16">IFERROR((P97-P98)/P97,0)*MAX(0,P97)</f>
        <v>3.5</v>
      </c>
      <c r="Q99" s="93">
        <f t="shared" si="16"/>
        <v>3.5</v>
      </c>
      <c r="R99" s="93">
        <f t="shared" si="16"/>
        <v>3.5</v>
      </c>
      <c r="S99" s="93">
        <f t="shared" si="16"/>
        <v>3.5</v>
      </c>
      <c r="T99" s="93">
        <f t="shared" si="16"/>
        <v>4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11992991.07435249</v>
      </c>
      <c r="P105" s="70">
        <f>P78*Inputs!$M$75*IF(Inputs!$M$126&gt;0,Inputs!$M$126,P93*Inputs!$J$123)*$I$13</f>
        <v>13505632.342476159</v>
      </c>
      <c r="Q105" s="70">
        <f>Q78*Inputs!$M$75*IF(Inputs!$M$126&gt;0,Inputs!$M$126,Q93*Inputs!$J$123)*$I$13</f>
        <v>13488834.788530597</v>
      </c>
      <c r="R105" s="70">
        <f>R78*Inputs!$M$75*IF(Inputs!$M$126&gt;0,Inputs!$M$126,R93*Inputs!$J$123)*$I$13</f>
        <v>13546032.613247801</v>
      </c>
      <c r="S105" s="70">
        <f>S78*Inputs!$M$75*IF(Inputs!$M$126&gt;0,Inputs!$M$126,S93*Inputs!$J$123)*$I$13</f>
        <v>13885515.485552777</v>
      </c>
      <c r="T105" s="70">
        <f>T78*Inputs!$M$75*IF(Inputs!$M$126&gt;0,Inputs!$M$126,T93*Inputs!$J$123)*$I$13</f>
        <v>14396936.397218507</v>
      </c>
      <c r="U105" s="70">
        <f>U78*Inputs!$M$75*IF(Inputs!$M$126&gt;0,Inputs!$M$126,U93*Inputs!$J$123)*$I$13</f>
        <v>15589562.727353603</v>
      </c>
      <c r="V105" s="70">
        <f>V78*Inputs!$M$75*IF(Inputs!$M$126&gt;0,Inputs!$M$126,V93*Inputs!$J$123)*$I$13</f>
        <v>15589562.727353603</v>
      </c>
      <c r="W105" s="70">
        <f>W78*Inputs!$M$75*IF(Inputs!$M$126&gt;0,Inputs!$M$126,W93*Inputs!$J$123)*$I$13</f>
        <v>15589562.727353603</v>
      </c>
      <c r="X105" s="70">
        <f>X78*Inputs!$M$75*IF(Inputs!$M$126&gt;0,Inputs!$M$126,X93*Inputs!$J$123)*$I$13</f>
        <v>15589562.727353603</v>
      </c>
      <c r="Y105" s="70">
        <f>Y78*Inputs!$M$75*IF(Inputs!$M$126&gt;0,Inputs!$M$126,Y93*Inputs!$J$123)*$I$13</f>
        <v>15589562.727353603</v>
      </c>
      <c r="Z105" s="70">
        <f>Z78*Inputs!$M$75*IF(Inputs!$M$126&gt;0,Inputs!$M$126,Z93*Inputs!$J$123)*$I$13</f>
        <v>15589562.727353603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57666502.314676799</v>
      </c>
      <c r="P106" s="70">
        <f>P79*Inputs!$M$75*IF(Inputs!$M$126&gt;0,Inputs!$M$126,P96*Inputs!$J$123)*$I$13</f>
        <v>59784200.09004993</v>
      </c>
      <c r="Q106" s="70">
        <f>Q79*Inputs!$M$75*IF(Inputs!$M$126&gt;0,Inputs!$M$126,Q96*Inputs!$J$123)*$I$13</f>
        <v>59760683.514526151</v>
      </c>
      <c r="R106" s="70">
        <f>R79*Inputs!$M$75*IF(Inputs!$M$126&gt;0,Inputs!$M$126,R96*Inputs!$J$123)*$I$13</f>
        <v>59840760.469130233</v>
      </c>
      <c r="S106" s="70">
        <f>S79*Inputs!$M$75*IF(Inputs!$M$126&gt;0,Inputs!$M$126,S96*Inputs!$J$123)*$I$13</f>
        <v>60316036.490357198</v>
      </c>
      <c r="T106" s="70">
        <f>T79*Inputs!$M$75*IF(Inputs!$M$126&gt;0,Inputs!$M$126,T96*Inputs!$J$123)*$I$13</f>
        <v>69750886.590501979</v>
      </c>
      <c r="U106" s="70">
        <f>U79*Inputs!$M$75*IF(Inputs!$M$126&gt;0,Inputs!$M$126,U96*Inputs!$J$123)*$I$13</f>
        <v>71659088.718718141</v>
      </c>
      <c r="V106" s="70">
        <f>V79*Inputs!$M$75*IF(Inputs!$M$126&gt;0,Inputs!$M$126,V96*Inputs!$J$123)*$I$13</f>
        <v>71659088.718718141</v>
      </c>
      <c r="W106" s="70">
        <f>W79*Inputs!$M$75*IF(Inputs!$M$126&gt;0,Inputs!$M$126,W96*Inputs!$J$123)*$I$13</f>
        <v>71659088.718718141</v>
      </c>
      <c r="X106" s="70">
        <f>X79*Inputs!$M$75*IF(Inputs!$M$126&gt;0,Inputs!$M$126,X96*Inputs!$J$123)*$I$13</f>
        <v>71659088.718718141</v>
      </c>
      <c r="Y106" s="70">
        <f>Y79*Inputs!$M$75*IF(Inputs!$M$126&gt;0,Inputs!$M$126,Y96*Inputs!$J$123)*$I$13</f>
        <v>71659088.718718141</v>
      </c>
      <c r="Z106" s="70">
        <f>Z79*Inputs!$M$75*IF(Inputs!$M$126&gt;0,Inputs!$M$126,Z96*Inputs!$J$123)*$I$13</f>
        <v>71659088.718718141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57666502.314676799</v>
      </c>
      <c r="P107" s="70">
        <f>P80*Inputs!$M$75*IF(Inputs!$M$126&gt;0,Inputs!$M$126,P99*Inputs!$J$123)*$I$13</f>
        <v>59784200.09004993</v>
      </c>
      <c r="Q107" s="70">
        <f>Q80*Inputs!$M$75*IF(Inputs!$M$126&gt;0,Inputs!$M$126,Q99*Inputs!$J$123)*$I$13</f>
        <v>59760683.514526151</v>
      </c>
      <c r="R107" s="70">
        <f>R80*Inputs!$M$75*IF(Inputs!$M$126&gt;0,Inputs!$M$126,R99*Inputs!$J$123)*$I$13</f>
        <v>59840760.469130233</v>
      </c>
      <c r="S107" s="70">
        <f>S80*Inputs!$M$75*IF(Inputs!$M$126&gt;0,Inputs!$M$126,S99*Inputs!$J$123)*$I$13</f>
        <v>60316036.490357198</v>
      </c>
      <c r="T107" s="70">
        <f>T80*Inputs!$M$75*IF(Inputs!$M$126&gt;0,Inputs!$M$126,T99*Inputs!$J$123)*$I$13</f>
        <v>69750886.590501979</v>
      </c>
      <c r="U107" s="70">
        <f>U80*Inputs!$M$75*IF(Inputs!$M$126&gt;0,Inputs!$M$126,U99*Inputs!$J$123)*$I$13</f>
        <v>71659088.718718141</v>
      </c>
      <c r="V107" s="70">
        <f>V80*Inputs!$M$75*IF(Inputs!$M$126&gt;0,Inputs!$M$126,V99*Inputs!$J$123)*$I$13</f>
        <v>71659088.718718141</v>
      </c>
      <c r="W107" s="70">
        <f>W80*Inputs!$M$75*IF(Inputs!$M$126&gt;0,Inputs!$M$126,W99*Inputs!$J$123)*$I$13</f>
        <v>71659088.718718141</v>
      </c>
      <c r="X107" s="70">
        <f>X80*Inputs!$M$75*IF(Inputs!$M$126&gt;0,Inputs!$M$126,X99*Inputs!$J$123)*$I$13</f>
        <v>71659088.718718141</v>
      </c>
      <c r="Y107" s="70">
        <f>Y80*Inputs!$M$75*IF(Inputs!$M$126&gt;0,Inputs!$M$126,Y99*Inputs!$J$123)*$I$13</f>
        <v>71659088.718718141</v>
      </c>
      <c r="Z107" s="70">
        <f>Z80*Inputs!$M$75*IF(Inputs!$M$126&gt;0,Inputs!$M$126,Z99*Inputs!$J$123)*$I$13</f>
        <v>71659088.718718141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0.10669199548876918</v>
      </c>
      <c r="P114" s="56">
        <f>Inputs!P64*$I$9</f>
        <v>0.11425409024471093</v>
      </c>
      <c r="Q114" s="56">
        <f>Inputs!Q64*$I$9</f>
        <v>0.12239650173519613</v>
      </c>
      <c r="R114" s="56">
        <f>Inputs!R64*$I$9</f>
        <v>0.13116550042096559</v>
      </c>
      <c r="S114" s="56">
        <f>Inputs!S64*$I$9</f>
        <v>0.14061113245463835</v>
      </c>
      <c r="T114" s="56">
        <f>Inputs!T64*$I$9</f>
        <v>0.15078753233167094</v>
      </c>
      <c r="U114" s="56">
        <f>Inputs!U64*$I$9</f>
        <v>0.16175326167951837</v>
      </c>
      <c r="V114" s="56">
        <f>Inputs!V64*$I$9</f>
        <v>0.17357167638403903</v>
      </c>
      <c r="W114" s="56">
        <f>Inputs!W64*$I$9</f>
        <v>0.18631132443797535</v>
      </c>
      <c r="X114" s="56">
        <f>Inputs!X64*$I$9</f>
        <v>0.20004637709786247</v>
      </c>
      <c r="Y114" s="56">
        <f>Inputs!Y64*$I$9</f>
        <v>0.21485709615431983</v>
      </c>
      <c r="Z114" s="56">
        <f>Inputs!Z64*$I$9</f>
        <v>0.23076434793559633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5.736128789718772E-4</v>
      </c>
      <c r="P115" s="56">
        <f>Inputs!P65*$I$9</f>
        <v>6.1426930239091891E-4</v>
      </c>
      <c r="Q115" s="56">
        <f>Inputs!Q65*$I$9</f>
        <v>6.5804570825374244E-4</v>
      </c>
      <c r="R115" s="56">
        <f>Inputs!R65*$I$9</f>
        <v>7.0519086247830954E-4</v>
      </c>
      <c r="S115" s="56">
        <f>Inputs!S65*$I$9</f>
        <v>7.5597383040128133E-4</v>
      </c>
      <c r="T115" s="56">
        <f>Inputs!T65*$I$9</f>
        <v>8.1068565769715564E-4</v>
      </c>
      <c r="U115" s="56">
        <f>Inputs!U65*$I$9</f>
        <v>8.6964119182536754E-4</v>
      </c>
      <c r="V115" s="56">
        <f>Inputs!V65*$I$9</f>
        <v>9.3318105582816679E-4</v>
      </c>
      <c r="W115" s="56">
        <f>Inputs!W65*$I$9</f>
        <v>1.0016737873009426E-3</v>
      </c>
      <c r="X115" s="56">
        <f>Inputs!X65*$I$9</f>
        <v>1.0755181564401205E-3</v>
      </c>
      <c r="Y115" s="56">
        <f>Inputs!Y65*$I$9</f>
        <v>1.1551456782490314E-3</v>
      </c>
      <c r="Z115" s="56">
        <f>Inputs!Z65*$I$9</f>
        <v>1.2406685372881522E-3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5.736128789718772E-4</v>
      </c>
      <c r="P116" s="56">
        <f>Inputs!P66*$I$9</f>
        <v>6.1426930239091891E-4</v>
      </c>
      <c r="Q116" s="56">
        <f>Inputs!Q66*$I$9</f>
        <v>6.5804570825374244E-4</v>
      </c>
      <c r="R116" s="56">
        <f>Inputs!R66*$I$9</f>
        <v>7.0519086247830954E-4</v>
      </c>
      <c r="S116" s="56">
        <f>Inputs!S66*$I$9</f>
        <v>7.5597383040128133E-4</v>
      </c>
      <c r="T116" s="56">
        <f>Inputs!T66*$I$9</f>
        <v>8.1068565769715564E-4</v>
      </c>
      <c r="U116" s="56">
        <f>Inputs!U66*$I$9</f>
        <v>8.6964119182536754E-4</v>
      </c>
      <c r="V116" s="56">
        <f>Inputs!V66*$I$9</f>
        <v>9.3318105582816679E-4</v>
      </c>
      <c r="W116" s="56">
        <f>Inputs!W66*$I$9</f>
        <v>1.0016737873009426E-3</v>
      </c>
      <c r="X116" s="56">
        <f>Inputs!X66*$I$9</f>
        <v>1.0755181564401205E-3</v>
      </c>
      <c r="Y116" s="56">
        <f>Inputs!Y66*$I$9</f>
        <v>1.1551456782490314E-3</v>
      </c>
      <c r="Z116" s="56">
        <f>Inputs!Z66*$I$9</f>
        <v>1.2406685372881522E-3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6615.6496825920367</v>
      </c>
      <c r="P121" s="70">
        <f t="shared" ref="P121:Z121" si="21">P107*P116*$T$17</f>
        <v>7344.719776662816</v>
      </c>
      <c r="Q121" s="70">
        <f t="shared" si="21"/>
        <v>7865.0522618088216</v>
      </c>
      <c r="R121" s="70">
        <f t="shared" si="21"/>
        <v>8439.8314973167762</v>
      </c>
      <c r="S121" s="70">
        <f t="shared" si="21"/>
        <v>9119.4690280477571</v>
      </c>
      <c r="T121" s="70">
        <f t="shared" si="21"/>
        <v>11309.208674116162</v>
      </c>
      <c r="U121" s="70">
        <f t="shared" si="21"/>
        <v>12463.539063693159</v>
      </c>
      <c r="V121" s="70">
        <f t="shared" si="21"/>
        <v>13374.180814043535</v>
      </c>
      <c r="W121" s="70">
        <f t="shared" si="21"/>
        <v>14355.80615828253</v>
      </c>
      <c r="X121" s="70">
        <f t="shared" si="21"/>
        <v>15414.130198186956</v>
      </c>
      <c r="Y121" s="70">
        <f t="shared" si="21"/>
        <v>16555.337328138237</v>
      </c>
      <c r="Z121" s="70">
        <f t="shared" si="21"/>
        <v>17781.035356810793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51182.245984066598</v>
      </c>
      <c r="P122" s="88">
        <f t="shared" ref="P122:Z122" si="22">P105*P114*$T$44</f>
        <v>61722.949458766314</v>
      </c>
      <c r="Q122" s="88">
        <f t="shared" si="22"/>
        <v>66039.447624006367</v>
      </c>
      <c r="R122" s="88">
        <f t="shared" si="22"/>
        <v>71070.885857414716</v>
      </c>
      <c r="S122" s="88">
        <f t="shared" si="22"/>
        <v>78098.322285599745</v>
      </c>
      <c r="T122" s="88">
        <f t="shared" si="22"/>
        <v>86835.140498903827</v>
      </c>
      <c r="U122" s="88">
        <f t="shared" si="22"/>
        <v>100866.50477227574</v>
      </c>
      <c r="V122" s="88">
        <f t="shared" si="22"/>
        <v>108236.26146723586</v>
      </c>
      <c r="W122" s="88">
        <f t="shared" si="22"/>
        <v>116180.4831656858</v>
      </c>
      <c r="X122" s="88">
        <f t="shared" si="22"/>
        <v>124745.4217658784</v>
      </c>
      <c r="Y122" s="88">
        <f t="shared" si="22"/>
        <v>133981.12711659254</v>
      </c>
      <c r="Z122" s="88">
        <f t="shared" si="22"/>
        <v>143900.61109515323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275.17336550573435</v>
      </c>
      <c r="P123" s="70">
        <f t="shared" ref="P123:Z123" si="23">P105*P115*$T$34</f>
        <v>331.8438142944425</v>
      </c>
      <c r="Q123" s="70">
        <f t="shared" si="23"/>
        <v>355.0507936774535</v>
      </c>
      <c r="R123" s="70">
        <f t="shared" si="23"/>
        <v>382.10153686782104</v>
      </c>
      <c r="S123" s="70">
        <f t="shared" si="23"/>
        <v>419.88345314838563</v>
      </c>
      <c r="T123" s="70">
        <f t="shared" si="23"/>
        <v>466.85559408012813</v>
      </c>
      <c r="U123" s="70">
        <f t="shared" si="23"/>
        <v>542.2930364100846</v>
      </c>
      <c r="V123" s="70">
        <f t="shared" si="23"/>
        <v>581.91538423245083</v>
      </c>
      <c r="W123" s="70">
        <f t="shared" si="23"/>
        <v>624.62625357895581</v>
      </c>
      <c r="X123" s="70">
        <f t="shared" si="23"/>
        <v>670.67431056923863</v>
      </c>
      <c r="Y123" s="70">
        <f t="shared" si="23"/>
        <v>720.32864041178789</v>
      </c>
      <c r="Z123" s="70">
        <f t="shared" si="23"/>
        <v>773.65919943630774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21342.056727484425</v>
      </c>
      <c r="P124" s="88">
        <f t="shared" si="24"/>
        <v>22854.734923450025</v>
      </c>
      <c r="Q124" s="88">
        <f t="shared" si="24"/>
        <v>24483.496360822788</v>
      </c>
      <c r="R124" s="88">
        <f t="shared" si="24"/>
        <v>26237.596718001205</v>
      </c>
      <c r="S124" s="88">
        <f t="shared" si="24"/>
        <v>28127.046941198205</v>
      </c>
      <c r="T124" s="88">
        <f t="shared" si="24"/>
        <v>30162.675785351345</v>
      </c>
      <c r="U124" s="88">
        <f t="shared" si="24"/>
        <v>32356.197583569428</v>
      </c>
      <c r="V124" s="88">
        <f t="shared" si="24"/>
        <v>34720.28568499937</v>
      </c>
      <c r="W124" s="88">
        <f t="shared" si="24"/>
        <v>37268.652038161403</v>
      </c>
      <c r="X124" s="88">
        <f t="shared" si="24"/>
        <v>40016.133437111836</v>
      </c>
      <c r="Y124" s="88">
        <f t="shared" si="24"/>
        <v>42978.784991520348</v>
      </c>
      <c r="Z124" s="88">
        <f t="shared" si="24"/>
        <v>46160.78068237906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2544.2555424575557</v>
      </c>
      <c r="P125" s="70">
        <f t="shared" si="25"/>
        <v>2724.5867979304121</v>
      </c>
      <c r="Q125" s="70">
        <f t="shared" si="25"/>
        <v>2918.7567116969767</v>
      </c>
      <c r="R125" s="70">
        <f t="shared" si="25"/>
        <v>3127.8686830858755</v>
      </c>
      <c r="S125" s="70">
        <f t="shared" si="25"/>
        <v>3353.1161493422942</v>
      </c>
      <c r="T125" s="70">
        <f t="shared" si="25"/>
        <v>3595.7900413319712</v>
      </c>
      <c r="U125" s="70">
        <f t="shared" si="25"/>
        <v>3857.286862555894</v>
      </c>
      <c r="V125" s="70">
        <f t="shared" si="25"/>
        <v>4139.1174439157094</v>
      </c>
      <c r="W125" s="70">
        <f t="shared" si="25"/>
        <v>4442.9164311002532</v>
      </c>
      <c r="X125" s="70">
        <f t="shared" si="25"/>
        <v>4770.452566269294</v>
      </c>
      <c r="Y125" s="70">
        <f t="shared" si="25"/>
        <v>5123.6398309234646</v>
      </c>
      <c r="Z125" s="70">
        <f t="shared" si="25"/>
        <v>5502.9758188237074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6655.3772607944429</v>
      </c>
      <c r="P126" s="70">
        <f t="shared" si="26"/>
        <v>7127.0958114889554</v>
      </c>
      <c r="Q126" s="70">
        <f t="shared" si="26"/>
        <v>7635.0141425085567</v>
      </c>
      <c r="R126" s="70">
        <f t="shared" si="26"/>
        <v>8182.0185750889732</v>
      </c>
      <c r="S126" s="70">
        <f t="shared" si="26"/>
        <v>8771.2309556686814</v>
      </c>
      <c r="T126" s="70">
        <f t="shared" si="26"/>
        <v>9406.0281588523412</v>
      </c>
      <c r="U126" s="70">
        <f t="shared" si="26"/>
        <v>10090.063220858208</v>
      </c>
      <c r="V126" s="70">
        <f t="shared" si="26"/>
        <v>10827.28824062443</v>
      </c>
      <c r="W126" s="70">
        <f t="shared" si="26"/>
        <v>11621.979197338393</v>
      </c>
      <c r="X126" s="70">
        <f t="shared" si="26"/>
        <v>12478.762845724174</v>
      </c>
      <c r="Y126" s="70">
        <f t="shared" si="26"/>
        <v>13402.645864059299</v>
      </c>
      <c r="Z126" s="70">
        <f t="shared" si="26"/>
        <v>14394.929880323514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13108.534513274337</v>
      </c>
      <c r="P127" s="70">
        <f>Inputs!$J$27*$I$11</f>
        <v>13108.534513274337</v>
      </c>
      <c r="Q127" s="70">
        <f>Inputs!$J$27*$I$11</f>
        <v>13108.534513274337</v>
      </c>
      <c r="R127" s="70">
        <f>Inputs!$J$27*$I$11</f>
        <v>13108.534513274337</v>
      </c>
      <c r="S127" s="70">
        <f>Inputs!$J$27*$I$11</f>
        <v>13108.534513274337</v>
      </c>
      <c r="T127" s="70">
        <f>Inputs!$J$27*$I$11</f>
        <v>13108.534513274337</v>
      </c>
      <c r="U127" s="70">
        <f>Inputs!$J$27*$I$11</f>
        <v>13108.534513274337</v>
      </c>
      <c r="V127" s="70">
        <f>Inputs!$J$27*$I$11</f>
        <v>13108.534513274337</v>
      </c>
      <c r="W127" s="70">
        <f>Inputs!$J$27*$I$11</f>
        <v>13108.534513274337</v>
      </c>
      <c r="X127" s="70">
        <f>Inputs!$J$27*$I$11</f>
        <v>13108.534513274337</v>
      </c>
      <c r="Y127" s="70">
        <f>Inputs!$J$27*$I$11</f>
        <v>13108.534513274337</v>
      </c>
      <c r="Z127" s="70">
        <f>Inputs!$J$27*$I$11</f>
        <v>13108.534513274337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101723.29307617512</v>
      </c>
      <c r="P128" s="98">
        <f t="shared" ref="P128:Z128" si="27">SUM(P119:P127)</f>
        <v>115214.4650958673</v>
      </c>
      <c r="Q128" s="98">
        <f t="shared" si="27"/>
        <v>122405.3524077953</v>
      </c>
      <c r="R128" s="98">
        <f t="shared" si="27"/>
        <v>130548.83738104971</v>
      </c>
      <c r="S128" s="98">
        <f t="shared" si="27"/>
        <v>140997.60332627941</v>
      </c>
      <c r="T128" s="98">
        <f t="shared" si="27"/>
        <v>154884.23326591009</v>
      </c>
      <c r="U128" s="98">
        <f t="shared" si="27"/>
        <v>173284.41905263683</v>
      </c>
      <c r="V128" s="98">
        <f t="shared" si="27"/>
        <v>184987.58354832567</v>
      </c>
      <c r="W128" s="98">
        <f t="shared" si="27"/>
        <v>197602.99775742166</v>
      </c>
      <c r="X128" s="98">
        <f t="shared" si="27"/>
        <v>211204.10963701422</v>
      </c>
      <c r="Y128" s="98">
        <f t="shared" si="27"/>
        <v>225870.39828492</v>
      </c>
      <c r="Z128" s="98">
        <f t="shared" si="27"/>
        <v>241622.52654620091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A'!$I$10</f>
        <v>0</v>
      </c>
      <c r="P135" s="70">
        <f>Inputs!P22*'Scenario A'!$I$10</f>
        <v>0</v>
      </c>
      <c r="Q135" s="70">
        <f>Inputs!Q22*'Scenario A'!$I$10</f>
        <v>0</v>
      </c>
      <c r="R135" s="70">
        <f>Inputs!R22*'Scenario A'!$I$10</f>
        <v>56993.62831858408</v>
      </c>
      <c r="S135" s="70">
        <f>Inputs!S22*'Scenario A'!$I$10</f>
        <v>854904.42477876111</v>
      </c>
      <c r="T135" s="70">
        <f>Inputs!T22*'Scenario A'!$I$10</f>
        <v>3360344.325663717</v>
      </c>
      <c r="U135" s="70">
        <f>Inputs!U22*'Scenario A'!$I$10</f>
        <v>0</v>
      </c>
      <c r="V135" s="70">
        <f>Inputs!V22*'Scenario A'!$I$10</f>
        <v>0</v>
      </c>
      <c r="W135" s="70">
        <f>Inputs!W22*'Scenario A'!$I$10</f>
        <v>0</v>
      </c>
      <c r="X135" s="70">
        <f>Inputs!X22*'Scenario A'!$I$10</f>
        <v>0</v>
      </c>
      <c r="Y135" s="70">
        <f>Inputs!Y22*'Scenario A'!$I$10</f>
        <v>0</v>
      </c>
      <c r="Z135" s="70">
        <f>Inputs!Z22*'Scenario A'!$I$10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0</v>
      </c>
      <c r="Q136" s="70">
        <f t="shared" si="28"/>
        <v>0</v>
      </c>
      <c r="R136" s="70">
        <f t="shared" si="28"/>
        <v>1</v>
      </c>
      <c r="S136" s="70">
        <f t="shared" si="28"/>
        <v>1</v>
      </c>
      <c r="T136" s="70">
        <f t="shared" si="28"/>
        <v>1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1.0557562500000002</v>
      </c>
      <c r="S137" s="56">
        <f>(S136=1)*(1+Inputs!$J$11)^(SUM(S136:$Z136)-1)</f>
        <v>1.0275000000000001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PMT(Inputs!$J$11,Inputs!$J$12,-SUMPRODUCT('Scenario A'!O135:Z135,'Scenario A'!O137:Z137),0,0)</f>
        <v>159236.32012511557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5585.3755752212401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164821.6957003368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101723.29307617512</v>
      </c>
      <c r="P147" s="70">
        <f t="shared" ref="P147:Z147" si="30">P128</f>
        <v>115214.4650958673</v>
      </c>
      <c r="Q147" s="70">
        <f t="shared" si="30"/>
        <v>122405.3524077953</v>
      </c>
      <c r="R147" s="70">
        <f t="shared" si="30"/>
        <v>130548.83738104971</v>
      </c>
      <c r="S147" s="70">
        <f t="shared" si="30"/>
        <v>140997.60332627941</v>
      </c>
      <c r="T147" s="70">
        <f t="shared" si="30"/>
        <v>154884.23326591009</v>
      </c>
      <c r="U147" s="70">
        <f t="shared" si="30"/>
        <v>173284.41905263683</v>
      </c>
      <c r="V147" s="70">
        <f t="shared" si="30"/>
        <v>184987.58354832567</v>
      </c>
      <c r="W147" s="70">
        <f t="shared" si="30"/>
        <v>197602.99775742166</v>
      </c>
      <c r="X147" s="70">
        <f t="shared" si="30"/>
        <v>211204.10963701422</v>
      </c>
      <c r="Y147" s="70">
        <f t="shared" si="30"/>
        <v>225870.39828492</v>
      </c>
      <c r="Z147" s="70">
        <f t="shared" si="30"/>
        <v>241622.52654620091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164821.6957003368</v>
      </c>
      <c r="P148" s="70">
        <f t="shared" ref="P148:Z148" si="31">$J$140</f>
        <v>164821.6957003368</v>
      </c>
      <c r="Q148" s="70">
        <f t="shared" si="31"/>
        <v>164821.6957003368</v>
      </c>
      <c r="R148" s="70">
        <f t="shared" si="31"/>
        <v>164821.6957003368</v>
      </c>
      <c r="S148" s="70">
        <f t="shared" si="31"/>
        <v>164821.6957003368</v>
      </c>
      <c r="T148" s="70">
        <f t="shared" si="31"/>
        <v>164821.6957003368</v>
      </c>
      <c r="U148" s="70">
        <f t="shared" si="31"/>
        <v>164821.6957003368</v>
      </c>
      <c r="V148" s="70">
        <f t="shared" si="31"/>
        <v>164821.6957003368</v>
      </c>
      <c r="W148" s="70">
        <f t="shared" si="31"/>
        <v>164821.6957003368</v>
      </c>
      <c r="X148" s="70">
        <f t="shared" si="31"/>
        <v>164821.6957003368</v>
      </c>
      <c r="Y148" s="70">
        <f t="shared" si="31"/>
        <v>164821.6957003368</v>
      </c>
      <c r="Z148" s="70">
        <f t="shared" si="31"/>
        <v>164821.6957003368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32">(P147&gt;=P148)</f>
        <v>0</v>
      </c>
      <c r="Q149" s="99" t="b">
        <f t="shared" si="32"/>
        <v>0</v>
      </c>
      <c r="R149" s="99" t="b">
        <f t="shared" si="32"/>
        <v>0</v>
      </c>
      <c r="S149" s="99" t="b">
        <f t="shared" si="32"/>
        <v>0</v>
      </c>
      <c r="T149" s="99" t="b">
        <f t="shared" si="32"/>
        <v>0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.125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North Richmond Transformer No.1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B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B: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30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B'!$I$8,Inputs!$D$52:$D$57,0),MATCH('Scenario B'!$D9,Inputs!$D$52:$O$52,0))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B'!$I$8,Inputs!$D$52:$D$57,0),MATCH('Scenario B'!$D10,Inputs!$D$52:$O$52,0))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B'!$I$8,Inputs!$D$52:$D$57,0),MATCH('Scenario B'!$D11,Inputs!$D$52:$O$52,0))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B'!$I$8,Inputs!$D$52:$D$57,0),MATCH('Scenario B'!$D12,Inputs!$D$52:$O$52,0))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B'!$I$8,Inputs!$D$52:$D$57,0),MATCH('Scenario B'!$D13,Inputs!$D$52:$O$52,0))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B'!$I$8,Inputs!$D$52:$D$57,0),MATCH('Scenario B'!$D14,Inputs!$D$52:$O$52,0))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B'!J17,Inputs!$D$64:$D$66,0))</f>
        <v>3</v>
      </c>
      <c r="J17" s="100" t="s">
        <v>40</v>
      </c>
      <c r="K17" s="101" t="str">
        <f>'Base Case'!K17</f>
        <v>Unserved energy</v>
      </c>
      <c r="L17" s="102"/>
      <c r="M17" s="102"/>
      <c r="N17" s="103"/>
      <c r="O17" s="63">
        <f>O107</f>
        <v>57666502.314676799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11533300.46293536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B'!J18,Inputs!$D$64:$D$66,0))</f>
        <v>3</v>
      </c>
      <c r="J18" s="104" t="s">
        <v>40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B'!J19,Inputs!$D$64:$D$66,0))</f>
        <v>3</v>
      </c>
      <c r="J19" s="104" t="s">
        <v>40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35014408.444682352</v>
      </c>
      <c r="R19" s="71">
        <v>0</v>
      </c>
      <c r="S19" s="72">
        <v>0</v>
      </c>
      <c r="T19" s="73">
        <f>'Base Case'!$T19</f>
        <v>0.2</v>
      </c>
      <c r="U19" s="74">
        <f t="shared" si="0"/>
        <v>7002881.688936471</v>
      </c>
      <c r="V19" s="75">
        <f t="shared" si="1"/>
        <v>7002881.688936471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B'!J20,Inputs!$D$64:$D$66,0))</f>
        <v>3</v>
      </c>
      <c r="J20" s="104" t="s">
        <v>40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10486413.111504424</v>
      </c>
      <c r="S20" s="72">
        <v>0</v>
      </c>
      <c r="T20" s="73">
        <f>'Base Case'!$T20</f>
        <v>0.2</v>
      </c>
      <c r="U20" s="74">
        <f t="shared" si="0"/>
        <v>2097282.6223008852</v>
      </c>
      <c r="V20" s="75">
        <f t="shared" si="1"/>
        <v>2097282.6223008852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B'!J21,Inputs!$D$64:$D$66,0))</f>
        <v>3</v>
      </c>
      <c r="J21" s="104" t="s">
        <v>40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2314770.307964602</v>
      </c>
      <c r="T21" s="73">
        <f>'Base Case'!$T21</f>
        <v>0.2</v>
      </c>
      <c r="U21" s="74">
        <f t="shared" si="0"/>
        <v>462954.06159292045</v>
      </c>
      <c r="V21" s="75">
        <f t="shared" si="1"/>
        <v>462954.06159292045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B'!J22,Inputs!$D$64:$D$66,0))</f>
        <v>3</v>
      </c>
      <c r="J22" s="104" t="s">
        <v>40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46631.150442477883</v>
      </c>
      <c r="R22" s="71">
        <v>0</v>
      </c>
      <c r="S22" s="72">
        <v>0</v>
      </c>
      <c r="T22" s="73">
        <f>'Base Case'!$T22</f>
        <v>0.2</v>
      </c>
      <c r="U22" s="74">
        <f t="shared" si="0"/>
        <v>9326.2300884955766</v>
      </c>
      <c r="V22" s="75">
        <f t="shared" si="1"/>
        <v>9326.2300884955766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B'!J23,Inputs!$D$64:$D$66,0))</f>
        <v>3</v>
      </c>
      <c r="J23" s="104" t="s">
        <v>40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B'!J24,Inputs!$D$64:$D$66,0))</f>
        <v>3</v>
      </c>
      <c r="J24" s="104" t="s">
        <v>40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B'!J25,Inputs!$D$64:$D$66,0))</f>
        <v>3</v>
      </c>
      <c r="J25" s="104" t="s">
        <v>40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B'!J26,Inputs!$D$64:$D$66,0))</f>
        <v>3</v>
      </c>
      <c r="J26" s="108" t="s">
        <v>40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B'!J27,Inputs!$D$64:$D$66,0))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B'!J28,Inputs!$D$64:$D$66,0))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B'!J29,Inputs!$D$64:$D$66,0))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B'!J30,Inputs!$D$64:$D$66,0))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3495471.0371681419</v>
      </c>
      <c r="S30" s="72">
        <v>0</v>
      </c>
      <c r="T30" s="73">
        <f>'Base Case'!$T30</f>
        <v>0.8</v>
      </c>
      <c r="U30" s="74">
        <f t="shared" si="0"/>
        <v>2796376.8297345135</v>
      </c>
      <c r="V30" s="75">
        <f t="shared" si="1"/>
        <v>2796376.8297345135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B'!J31,Inputs!$D$64:$D$66,0))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779859.3600000001</v>
      </c>
      <c r="T31" s="73">
        <f>'Base Case'!$T31</f>
        <v>0.8</v>
      </c>
      <c r="U31" s="74">
        <f t="shared" si="0"/>
        <v>623887.48800000013</v>
      </c>
      <c r="V31" s="75">
        <f t="shared" si="1"/>
        <v>623887.48800000013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B'!J32,Inputs!$D$64:$D$66,0))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0.8</v>
      </c>
      <c r="U32" s="74">
        <f t="shared" si="0"/>
        <v>37304.920353982307</v>
      </c>
      <c r="V32" s="75">
        <f t="shared" si="1"/>
        <v>37304.920353982307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B'!J33,Inputs!$D$64:$D$66,0))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B'!J34,Inputs!$D$64:$D$66,0))</f>
        <v>2</v>
      </c>
      <c r="J34" s="104" t="s">
        <v>39</v>
      </c>
      <c r="K34" s="105" t="str">
        <f>'Base Case'!K34</f>
        <v>Coincident outage risk</v>
      </c>
      <c r="L34" s="106"/>
      <c r="M34" s="106"/>
      <c r="N34" s="107"/>
      <c r="O34" s="74">
        <f>O105</f>
        <v>11992991.07435249</v>
      </c>
      <c r="P34" s="71">
        <v>0</v>
      </c>
      <c r="Q34" s="70">
        <f>Inputs!$L$161*$I$11</f>
        <v>6649434.7797539206</v>
      </c>
      <c r="R34" s="71">
        <v>0</v>
      </c>
      <c r="S34" s="72">
        <v>0</v>
      </c>
      <c r="T34" s="73">
        <f>'Base Case'!$T34</f>
        <v>0.04</v>
      </c>
      <c r="U34" s="74">
        <f t="shared" si="0"/>
        <v>745697.03416425642</v>
      </c>
      <c r="V34" s="75">
        <f t="shared" si="1"/>
        <v>265977.39119015681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B'!J35,Inputs!$D$64:$D$66,0))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B'!J36,Inputs!$D$64:$D$66,0))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B'!J37,Inputs!$D$64:$D$66,0))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B'!J38,Inputs!$D$64:$D$66,0))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B'!J39,Inputs!$D$64:$D$66,0))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B'!J40,Inputs!$D$64:$D$66,0))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10725.164601769911</v>
      </c>
      <c r="S40" s="72">
        <v>0</v>
      </c>
      <c r="T40" s="73">
        <f>'Base Case'!$T40</f>
        <v>1</v>
      </c>
      <c r="U40" s="74">
        <f t="shared" si="0"/>
        <v>10725.164601769911</v>
      </c>
      <c r="V40" s="75">
        <f t="shared" si="1"/>
        <v>10725.164601769911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B'!J41,Inputs!$D$64:$D$66,0))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57169.790442477875</v>
      </c>
      <c r="T41" s="73">
        <f>'Base Case'!$T41</f>
        <v>1</v>
      </c>
      <c r="U41" s="74">
        <f t="shared" si="0"/>
        <v>57169.790442477875</v>
      </c>
      <c r="V41" s="75">
        <f t="shared" si="1"/>
        <v>57169.790442477875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B'!J42,Inputs!$D$64:$D$66,0))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B'!J43,Inputs!$D$64:$D$66,0))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B'!J44,Inputs!$D$64:$D$66,0))</f>
        <v>1</v>
      </c>
      <c r="J44" s="104" t="s">
        <v>38</v>
      </c>
      <c r="K44" s="105" t="str">
        <f>'Base Case'!K44</f>
        <v>Coincident outage risk</v>
      </c>
      <c r="L44" s="106"/>
      <c r="M44" s="106"/>
      <c r="N44" s="107"/>
      <c r="O44" s="74">
        <f>O105</f>
        <v>11992991.07435249</v>
      </c>
      <c r="P44" s="71">
        <v>0</v>
      </c>
      <c r="Q44" s="70">
        <f>SUM(Inputs!$J$161,Inputs!$L$161*(Inputs!$J$128/Inputs!$L$128))*$I$11</f>
        <v>1319332.2975702223</v>
      </c>
      <c r="R44" s="71">
        <v>0</v>
      </c>
      <c r="S44" s="72">
        <v>0</v>
      </c>
      <c r="T44" s="73">
        <f>'Base Case'!$T44</f>
        <v>0.04</v>
      </c>
      <c r="U44" s="74">
        <f t="shared" si="0"/>
        <v>532492.93487690855</v>
      </c>
      <c r="V44" s="75">
        <f t="shared" si="1"/>
        <v>52773.291902808895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B'!J45,Inputs!$D$64:$D$66,0))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B'!J46,Inputs!$D$64:$D$66,0))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B'!J49,Inputs!$D$64:$D$66,0))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11992991.07435249</v>
      </c>
      <c r="P49" s="70">
        <f t="shared" ref="P49:V49" si="2">SUMIF($I$17:$I$46,$I49,P$17:P$46)</f>
        <v>8261.6387603969597</v>
      </c>
      <c r="Q49" s="70">
        <f t="shared" si="2"/>
        <v>1365963.4480127001</v>
      </c>
      <c r="R49" s="70">
        <f t="shared" si="2"/>
        <v>10725.164601769911</v>
      </c>
      <c r="S49" s="70">
        <f t="shared" si="2"/>
        <v>57169.790442477875</v>
      </c>
      <c r="T49" s="56">
        <f>U49/SUM(O49:S49)</f>
        <v>4.8773744664855644E-2</v>
      </c>
      <c r="U49" s="70">
        <f t="shared" si="2"/>
        <v>655280.67912403122</v>
      </c>
      <c r="V49" s="70">
        <f t="shared" si="2"/>
        <v>175561.03614993152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B'!J50,Inputs!$D$64:$D$66,0))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11992991.07435249</v>
      </c>
      <c r="P50" s="70">
        <f t="shared" si="3"/>
        <v>28915.735661389357</v>
      </c>
      <c r="Q50" s="70">
        <f t="shared" si="3"/>
        <v>6696065.9301963989</v>
      </c>
      <c r="R50" s="70">
        <f t="shared" si="3"/>
        <v>3495471.0371681419</v>
      </c>
      <c r="S50" s="70">
        <f t="shared" si="3"/>
        <v>779859.3600000001</v>
      </c>
      <c r="T50" s="56">
        <f t="shared" ref="T50:T51" si="4">U50/SUM(O50:S50)</f>
        <v>0.18380999178457905</v>
      </c>
      <c r="U50" s="70">
        <f t="shared" si="3"/>
        <v>4226398.8607818633</v>
      </c>
      <c r="V50" s="70">
        <f t="shared" si="3"/>
        <v>3746679.2178077642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B'!J51,Inputs!$D$64:$D$66,0))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57666502.314676799</v>
      </c>
      <c r="P51" s="70">
        <f t="shared" si="3"/>
        <v>28915.735661389357</v>
      </c>
      <c r="Q51" s="70">
        <f t="shared" si="3"/>
        <v>35061039.595124833</v>
      </c>
      <c r="R51" s="70">
        <f t="shared" si="3"/>
        <v>10486413.111504424</v>
      </c>
      <c r="S51" s="70">
        <f t="shared" si="3"/>
        <v>2314770.307964602</v>
      </c>
      <c r="T51" s="56">
        <f t="shared" si="4"/>
        <v>0.2</v>
      </c>
      <c r="U51" s="70">
        <f t="shared" si="3"/>
        <v>21111528.21298641</v>
      </c>
      <c r="V51" s="70">
        <f t="shared" si="3"/>
        <v>9578227.7500510477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25993207.752892304</v>
      </c>
      <c r="V52" s="88">
        <f>SUM(V49:V51)</f>
        <v>13500468.004008744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B: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97.1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65.2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32.200000000000003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48.069049999999997</v>
      </c>
      <c r="P69" s="70">
        <f>Inputs!P185*$I$12</f>
        <v>49.69735</v>
      </c>
      <c r="Q69" s="70">
        <f>Inputs!Q185*$I$12</f>
        <v>49.622300000000003</v>
      </c>
      <c r="R69" s="70">
        <f>Inputs!R185*$I$12</f>
        <v>49.624199999999995</v>
      </c>
      <c r="S69" s="70">
        <f>Inputs!S185*$I$12</f>
        <v>50.26925</v>
      </c>
      <c r="T69" s="70">
        <f>Inputs!T185*$I$12</f>
        <v>50.599849999999996</v>
      </c>
      <c r="U69" s="70">
        <f>Inputs!U185*$I$12</f>
        <v>52.683199999999999</v>
      </c>
      <c r="V69" s="70">
        <f>Inputs!V185*$I$12</f>
        <v>52.683199999999999</v>
      </c>
      <c r="W69" s="70">
        <f>Inputs!W185*$I$12</f>
        <v>52.683199999999999</v>
      </c>
      <c r="X69" s="70">
        <f>Inputs!X185*$I$12</f>
        <v>52.683199999999999</v>
      </c>
      <c r="Y69" s="70">
        <f>Inputs!Y185*$I$12</f>
        <v>52.683199999999999</v>
      </c>
      <c r="Z69" s="70">
        <f>Inputs!Z185*$I$12</f>
        <v>52.683199999999999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44.293749999999996</v>
      </c>
      <c r="P70" s="70">
        <f>Inputs!P186*$I$12</f>
        <v>45.979050000000001</v>
      </c>
      <c r="Q70" s="70">
        <f>Inputs!Q186*$I$12</f>
        <v>45.984749999999998</v>
      </c>
      <c r="R70" s="70">
        <f>Inputs!R186*$I$12</f>
        <v>46.07405</v>
      </c>
      <c r="S70" s="70">
        <f>Inputs!S186*$I$12</f>
        <v>46.332450000000001</v>
      </c>
      <c r="T70" s="70">
        <f>Inputs!T186*$I$12</f>
        <v>46.996499999999997</v>
      </c>
      <c r="U70" s="70">
        <f>Inputs!U186*$I$12</f>
        <v>47.982599999999998</v>
      </c>
      <c r="V70" s="70">
        <f>Inputs!V186*$I$12</f>
        <v>47.982599999999998</v>
      </c>
      <c r="W70" s="70">
        <f>Inputs!W186*$I$12</f>
        <v>47.982599999999998</v>
      </c>
      <c r="X70" s="70">
        <f>Inputs!X186*$I$12</f>
        <v>47.982599999999998</v>
      </c>
      <c r="Y70" s="70">
        <f>Inputs!Y186*$I$12</f>
        <v>47.982599999999998</v>
      </c>
      <c r="Z70" s="70">
        <f>Inputs!Z186*$I$12</f>
        <v>47.982599999999998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45.426339999999996</v>
      </c>
      <c r="P71" s="70">
        <f>Inputs!P187*$I$12</f>
        <v>47.094539999999995</v>
      </c>
      <c r="Q71" s="70">
        <f>Inputs!Q187*$I$12</f>
        <v>47.076014999999998</v>
      </c>
      <c r="R71" s="70">
        <f>Inputs!R187*$I$12</f>
        <v>47.139094999999998</v>
      </c>
      <c r="S71" s="70">
        <f>Inputs!S187*$I$12</f>
        <v>47.513489999999997</v>
      </c>
      <c r="T71" s="70">
        <f>Inputs!T187*$I$12</f>
        <v>48.077504999999995</v>
      </c>
      <c r="U71" s="70">
        <f>Inputs!U187*$I$12</f>
        <v>49.392780000000002</v>
      </c>
      <c r="V71" s="70">
        <f>Inputs!V187*$I$12</f>
        <v>49.392780000000002</v>
      </c>
      <c r="W71" s="70">
        <f>Inputs!W187*$I$12</f>
        <v>49.392780000000002</v>
      </c>
      <c r="X71" s="70">
        <f>Inputs!X187*$I$12</f>
        <v>49.392780000000002</v>
      </c>
      <c r="Y71" s="70">
        <f>Inputs!Y187*$I$12</f>
        <v>49.392780000000002</v>
      </c>
      <c r="Z71" s="70">
        <f>Inputs!Z187*$I$12</f>
        <v>49.392780000000002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13.226339999999993</v>
      </c>
      <c r="P78" s="70">
        <f t="shared" si="5"/>
        <v>14.894539999999992</v>
      </c>
      <c r="Q78" s="70">
        <f t="shared" si="5"/>
        <v>14.876014999999995</v>
      </c>
      <c r="R78" s="70">
        <f t="shared" si="5"/>
        <v>14.939094999999995</v>
      </c>
      <c r="S78" s="70">
        <f t="shared" si="5"/>
        <v>15.313489999999994</v>
      </c>
      <c r="T78" s="70">
        <f t="shared" si="5"/>
        <v>15.877504999999992</v>
      </c>
      <c r="U78" s="70">
        <f t="shared" si="5"/>
        <v>17.192779999999999</v>
      </c>
      <c r="V78" s="70">
        <f t="shared" si="5"/>
        <v>17.192779999999999</v>
      </c>
      <c r="W78" s="70">
        <f t="shared" si="5"/>
        <v>17.192779999999999</v>
      </c>
      <c r="X78" s="70">
        <f t="shared" si="5"/>
        <v>17.192779999999999</v>
      </c>
      <c r="Y78" s="70">
        <f t="shared" si="5"/>
        <v>17.192779999999999</v>
      </c>
      <c r="Z78" s="70">
        <f t="shared" si="5"/>
        <v>17.192779999999999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45.426339999999996</v>
      </c>
      <c r="P79" s="70">
        <f t="shared" si="5"/>
        <v>47.094539999999995</v>
      </c>
      <c r="Q79" s="70">
        <f t="shared" si="5"/>
        <v>47.076014999999998</v>
      </c>
      <c r="R79" s="70">
        <f t="shared" si="5"/>
        <v>47.139094999999998</v>
      </c>
      <c r="S79" s="70">
        <f t="shared" si="5"/>
        <v>47.513489999999997</v>
      </c>
      <c r="T79" s="70">
        <f t="shared" si="5"/>
        <v>48.077504999999995</v>
      </c>
      <c r="U79" s="70">
        <f t="shared" si="5"/>
        <v>49.392780000000002</v>
      </c>
      <c r="V79" s="70">
        <f t="shared" si="5"/>
        <v>49.392780000000002</v>
      </c>
      <c r="W79" s="70">
        <f t="shared" si="5"/>
        <v>49.392780000000002</v>
      </c>
      <c r="X79" s="70">
        <f t="shared" si="5"/>
        <v>49.392780000000002</v>
      </c>
      <c r="Y79" s="70">
        <f t="shared" si="5"/>
        <v>49.392780000000002</v>
      </c>
      <c r="Z79" s="70">
        <f t="shared" si="5"/>
        <v>49.392780000000002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45.426339999999996</v>
      </c>
      <c r="P80" s="70">
        <f t="shared" si="5"/>
        <v>47.094539999999995</v>
      </c>
      <c r="Q80" s="70">
        <f t="shared" si="5"/>
        <v>47.076014999999998</v>
      </c>
      <c r="R80" s="70">
        <f t="shared" si="5"/>
        <v>47.139094999999998</v>
      </c>
      <c r="S80" s="70">
        <f t="shared" si="5"/>
        <v>47.513489999999997</v>
      </c>
      <c r="T80" s="70">
        <f t="shared" si="5"/>
        <v>48.077504999999995</v>
      </c>
      <c r="U80" s="70">
        <f t="shared" si="5"/>
        <v>49.392780000000002</v>
      </c>
      <c r="V80" s="70">
        <f t="shared" si="5"/>
        <v>49.392780000000002</v>
      </c>
      <c r="W80" s="70">
        <f t="shared" si="5"/>
        <v>49.392780000000002</v>
      </c>
      <c r="X80" s="70">
        <f t="shared" si="5"/>
        <v>49.392780000000002</v>
      </c>
      <c r="Y80" s="70">
        <f t="shared" si="5"/>
        <v>49.392780000000002</v>
      </c>
      <c r="Z80" s="70">
        <f t="shared" si="5"/>
        <v>49.392780000000002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167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168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5</v>
      </c>
      <c r="P94" s="70">
        <f>ROUNDUP(ROUNDUP(P79/Inputs!$J$114,0)/(Inputs!$J$118*Inputs!$J$115*Inputs!$J$114),0)+1</f>
        <v>5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5</v>
      </c>
      <c r="S94" s="70">
        <f>ROUNDUP(ROUNDUP(S79/Inputs!$J$114,0)/(Inputs!$J$118*Inputs!$J$115*Inputs!$J$114),0)+1</f>
        <v>5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1.5</v>
      </c>
      <c r="P95" s="70">
        <f t="shared" ref="P95:Z95" si="13">MAX(0,((P94-1)-1)/2)</f>
        <v>1.5</v>
      </c>
      <c r="Q95" s="70">
        <f t="shared" si="13"/>
        <v>1.5</v>
      </c>
      <c r="R95" s="70">
        <f t="shared" si="13"/>
        <v>1.5</v>
      </c>
      <c r="S95" s="70">
        <f t="shared" si="13"/>
        <v>1.5</v>
      </c>
      <c r="T95" s="70">
        <f t="shared" si="13"/>
        <v>2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3.5</v>
      </c>
      <c r="P96" s="93">
        <f t="shared" ref="P96:Z96" si="14">IFERROR((P94-P95)/P94,0)*MAX(0,P94)</f>
        <v>3.5</v>
      </c>
      <c r="Q96" s="93">
        <f t="shared" si="14"/>
        <v>3.5</v>
      </c>
      <c r="R96" s="93">
        <f t="shared" si="14"/>
        <v>3.5</v>
      </c>
      <c r="S96" s="93">
        <f t="shared" si="14"/>
        <v>3.5</v>
      </c>
      <c r="T96" s="93">
        <f t="shared" si="14"/>
        <v>4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5</v>
      </c>
      <c r="P97" s="70">
        <f>ROUNDUP(ROUNDUP(P80/Inputs!$J$114,0)/(Inputs!$J$118*Inputs!$J$115*Inputs!$J$114),0)+1</f>
        <v>5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5</v>
      </c>
      <c r="S97" s="70">
        <f>ROUNDUP(ROUNDUP(S80/Inputs!$J$114,0)/(Inputs!$J$118*Inputs!$J$115*Inputs!$J$114),0)+1</f>
        <v>5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1.5</v>
      </c>
      <c r="P98" s="70">
        <f t="shared" ref="P98:Z98" si="15">MAX(0,((P97-1)-1)/2)</f>
        <v>1.5</v>
      </c>
      <c r="Q98" s="70">
        <f t="shared" si="15"/>
        <v>1.5</v>
      </c>
      <c r="R98" s="70">
        <f t="shared" si="15"/>
        <v>1.5</v>
      </c>
      <c r="S98" s="70">
        <f t="shared" si="15"/>
        <v>1.5</v>
      </c>
      <c r="T98" s="70">
        <f t="shared" si="15"/>
        <v>2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3.5</v>
      </c>
      <c r="P99" s="93">
        <f t="shared" ref="P99:Z99" si="16">IFERROR((P97-P98)/P97,0)*MAX(0,P97)</f>
        <v>3.5</v>
      </c>
      <c r="Q99" s="93">
        <f t="shared" si="16"/>
        <v>3.5</v>
      </c>
      <c r="R99" s="93">
        <f t="shared" si="16"/>
        <v>3.5</v>
      </c>
      <c r="S99" s="93">
        <f t="shared" si="16"/>
        <v>3.5</v>
      </c>
      <c r="T99" s="93">
        <f t="shared" si="16"/>
        <v>4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11992991.07435249</v>
      </c>
      <c r="P105" s="70">
        <f>P78*Inputs!$M$75*IF(Inputs!$M$126&gt;0,Inputs!$M$126,P93*Inputs!$J$123)*$I$13</f>
        <v>13505632.342476159</v>
      </c>
      <c r="Q105" s="70">
        <f>Q78*Inputs!$M$75*IF(Inputs!$M$126&gt;0,Inputs!$M$126,Q93*Inputs!$J$123)*$I$13</f>
        <v>13488834.788530597</v>
      </c>
      <c r="R105" s="70">
        <f>R78*Inputs!$M$75*IF(Inputs!$M$126&gt;0,Inputs!$M$126,R93*Inputs!$J$123)*$I$13</f>
        <v>13546032.613247801</v>
      </c>
      <c r="S105" s="70">
        <f>S78*Inputs!$M$75*IF(Inputs!$M$126&gt;0,Inputs!$M$126,S93*Inputs!$J$123)*$I$13</f>
        <v>13885515.485552777</v>
      </c>
      <c r="T105" s="70">
        <f>T78*Inputs!$M$75*IF(Inputs!$M$126&gt;0,Inputs!$M$126,T93*Inputs!$J$123)*$I$13</f>
        <v>14396936.397218507</v>
      </c>
      <c r="U105" s="70">
        <f>U78*Inputs!$M$75*IF(Inputs!$M$126&gt;0,Inputs!$M$126,U93*Inputs!$J$123)*$I$13</f>
        <v>15589562.727353603</v>
      </c>
      <c r="V105" s="70">
        <f>V78*Inputs!$M$75*IF(Inputs!$M$126&gt;0,Inputs!$M$126,V93*Inputs!$J$123)*$I$13</f>
        <v>15589562.727353603</v>
      </c>
      <c r="W105" s="70">
        <f>W78*Inputs!$M$75*IF(Inputs!$M$126&gt;0,Inputs!$M$126,W93*Inputs!$J$123)*$I$13</f>
        <v>15589562.727353603</v>
      </c>
      <c r="X105" s="70">
        <f>X78*Inputs!$M$75*IF(Inputs!$M$126&gt;0,Inputs!$M$126,X93*Inputs!$J$123)*$I$13</f>
        <v>15589562.727353603</v>
      </c>
      <c r="Y105" s="70">
        <f>Y78*Inputs!$M$75*IF(Inputs!$M$126&gt;0,Inputs!$M$126,Y93*Inputs!$J$123)*$I$13</f>
        <v>15589562.727353603</v>
      </c>
      <c r="Z105" s="70">
        <f>Z78*Inputs!$M$75*IF(Inputs!$M$126&gt;0,Inputs!$M$126,Z93*Inputs!$J$123)*$I$13</f>
        <v>15589562.727353603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57666502.314676799</v>
      </c>
      <c r="P106" s="70">
        <f>P79*Inputs!$M$75*IF(Inputs!$M$126&gt;0,Inputs!$M$126,P96*Inputs!$J$123)*$I$13</f>
        <v>59784200.09004993</v>
      </c>
      <c r="Q106" s="70">
        <f>Q79*Inputs!$M$75*IF(Inputs!$M$126&gt;0,Inputs!$M$126,Q96*Inputs!$J$123)*$I$13</f>
        <v>59760683.514526151</v>
      </c>
      <c r="R106" s="70">
        <f>R79*Inputs!$M$75*IF(Inputs!$M$126&gt;0,Inputs!$M$126,R96*Inputs!$J$123)*$I$13</f>
        <v>59840760.469130233</v>
      </c>
      <c r="S106" s="70">
        <f>S79*Inputs!$M$75*IF(Inputs!$M$126&gt;0,Inputs!$M$126,S96*Inputs!$J$123)*$I$13</f>
        <v>60316036.490357198</v>
      </c>
      <c r="T106" s="70">
        <f>T79*Inputs!$M$75*IF(Inputs!$M$126&gt;0,Inputs!$M$126,T96*Inputs!$J$123)*$I$13</f>
        <v>69750886.590501979</v>
      </c>
      <c r="U106" s="70">
        <f>U79*Inputs!$M$75*IF(Inputs!$M$126&gt;0,Inputs!$M$126,U96*Inputs!$J$123)*$I$13</f>
        <v>71659088.718718141</v>
      </c>
      <c r="V106" s="70">
        <f>V79*Inputs!$M$75*IF(Inputs!$M$126&gt;0,Inputs!$M$126,V96*Inputs!$J$123)*$I$13</f>
        <v>71659088.718718141</v>
      </c>
      <c r="W106" s="70">
        <f>W79*Inputs!$M$75*IF(Inputs!$M$126&gt;0,Inputs!$M$126,W96*Inputs!$J$123)*$I$13</f>
        <v>71659088.718718141</v>
      </c>
      <c r="X106" s="70">
        <f>X79*Inputs!$M$75*IF(Inputs!$M$126&gt;0,Inputs!$M$126,X96*Inputs!$J$123)*$I$13</f>
        <v>71659088.718718141</v>
      </c>
      <c r="Y106" s="70">
        <f>Y79*Inputs!$M$75*IF(Inputs!$M$126&gt;0,Inputs!$M$126,Y96*Inputs!$J$123)*$I$13</f>
        <v>71659088.718718141</v>
      </c>
      <c r="Z106" s="70">
        <f>Z79*Inputs!$M$75*IF(Inputs!$M$126&gt;0,Inputs!$M$126,Z96*Inputs!$J$123)*$I$13</f>
        <v>71659088.718718141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57666502.314676799</v>
      </c>
      <c r="P107" s="70">
        <f>P80*Inputs!$M$75*IF(Inputs!$M$126&gt;0,Inputs!$M$126,P99*Inputs!$J$123)*$I$13</f>
        <v>59784200.09004993</v>
      </c>
      <c r="Q107" s="70">
        <f>Q80*Inputs!$M$75*IF(Inputs!$M$126&gt;0,Inputs!$M$126,Q99*Inputs!$J$123)*$I$13</f>
        <v>59760683.514526151</v>
      </c>
      <c r="R107" s="70">
        <f>R80*Inputs!$M$75*IF(Inputs!$M$126&gt;0,Inputs!$M$126,R99*Inputs!$J$123)*$I$13</f>
        <v>59840760.469130233</v>
      </c>
      <c r="S107" s="70">
        <f>S80*Inputs!$M$75*IF(Inputs!$M$126&gt;0,Inputs!$M$126,S99*Inputs!$J$123)*$I$13</f>
        <v>60316036.490357198</v>
      </c>
      <c r="T107" s="70">
        <f>T80*Inputs!$M$75*IF(Inputs!$M$126&gt;0,Inputs!$M$126,T99*Inputs!$J$123)*$I$13</f>
        <v>69750886.590501979</v>
      </c>
      <c r="U107" s="70">
        <f>U80*Inputs!$M$75*IF(Inputs!$M$126&gt;0,Inputs!$M$126,U99*Inputs!$J$123)*$I$13</f>
        <v>71659088.718718141</v>
      </c>
      <c r="V107" s="70">
        <f>V80*Inputs!$M$75*IF(Inputs!$M$126&gt;0,Inputs!$M$126,V99*Inputs!$J$123)*$I$13</f>
        <v>71659088.718718141</v>
      </c>
      <c r="W107" s="70">
        <f>W80*Inputs!$M$75*IF(Inputs!$M$126&gt;0,Inputs!$M$126,W99*Inputs!$J$123)*$I$13</f>
        <v>71659088.718718141</v>
      </c>
      <c r="X107" s="70">
        <f>X80*Inputs!$M$75*IF(Inputs!$M$126&gt;0,Inputs!$M$126,X99*Inputs!$J$123)*$I$13</f>
        <v>71659088.718718141</v>
      </c>
      <c r="Y107" s="70">
        <f>Y80*Inputs!$M$75*IF(Inputs!$M$126&gt;0,Inputs!$M$126,Y99*Inputs!$J$123)*$I$13</f>
        <v>71659088.718718141</v>
      </c>
      <c r="Z107" s="70">
        <f>Z80*Inputs!$M$75*IF(Inputs!$M$126&gt;0,Inputs!$M$126,Z99*Inputs!$J$123)*$I$13</f>
        <v>71659088.718718141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0.10669199548876918</v>
      </c>
      <c r="P114" s="56">
        <f>Inputs!P64*$I$9</f>
        <v>0.11425409024471093</v>
      </c>
      <c r="Q114" s="56">
        <f>Inputs!Q64*$I$9</f>
        <v>0.12239650173519613</v>
      </c>
      <c r="R114" s="56">
        <f>Inputs!R64*$I$9</f>
        <v>0.13116550042096559</v>
      </c>
      <c r="S114" s="56">
        <f>Inputs!S64*$I$9</f>
        <v>0.14061113245463835</v>
      </c>
      <c r="T114" s="56">
        <f>Inputs!T64*$I$9</f>
        <v>0.15078753233167094</v>
      </c>
      <c r="U114" s="56">
        <f>Inputs!U64*$I$9</f>
        <v>0.16175326167951837</v>
      </c>
      <c r="V114" s="56">
        <f>Inputs!V64*$I$9</f>
        <v>0.17357167638403903</v>
      </c>
      <c r="W114" s="56">
        <f>Inputs!W64*$I$9</f>
        <v>0.18631132443797535</v>
      </c>
      <c r="X114" s="56">
        <f>Inputs!X64*$I$9</f>
        <v>0.20004637709786247</v>
      </c>
      <c r="Y114" s="56">
        <f>Inputs!Y64*$I$9</f>
        <v>0.21485709615431983</v>
      </c>
      <c r="Z114" s="56">
        <f>Inputs!Z64*$I$9</f>
        <v>0.23076434793559633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5.736128789718772E-4</v>
      </c>
      <c r="P115" s="56">
        <f>Inputs!P65*$I$9</f>
        <v>6.1426930239091891E-4</v>
      </c>
      <c r="Q115" s="56">
        <f>Inputs!Q65*$I$9</f>
        <v>6.5804570825374244E-4</v>
      </c>
      <c r="R115" s="56">
        <f>Inputs!R65*$I$9</f>
        <v>7.0519086247830954E-4</v>
      </c>
      <c r="S115" s="56">
        <f>Inputs!S65*$I$9</f>
        <v>7.5597383040128133E-4</v>
      </c>
      <c r="T115" s="56">
        <f>Inputs!T65*$I$9</f>
        <v>8.1068565769715564E-4</v>
      </c>
      <c r="U115" s="56">
        <f>Inputs!U65*$I$9</f>
        <v>8.6964119182536754E-4</v>
      </c>
      <c r="V115" s="56">
        <f>Inputs!V65*$I$9</f>
        <v>9.3318105582816679E-4</v>
      </c>
      <c r="W115" s="56">
        <f>Inputs!W65*$I$9</f>
        <v>1.0016737873009426E-3</v>
      </c>
      <c r="X115" s="56">
        <f>Inputs!X65*$I$9</f>
        <v>1.0755181564401205E-3</v>
      </c>
      <c r="Y115" s="56">
        <f>Inputs!Y65*$I$9</f>
        <v>1.1551456782490314E-3</v>
      </c>
      <c r="Z115" s="56">
        <f>Inputs!Z65*$I$9</f>
        <v>1.2406685372881522E-3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5.736128789718772E-4</v>
      </c>
      <c r="P116" s="56">
        <f>Inputs!P66*$I$9</f>
        <v>6.1426930239091891E-4</v>
      </c>
      <c r="Q116" s="56">
        <f>Inputs!Q66*$I$9</f>
        <v>6.5804570825374244E-4</v>
      </c>
      <c r="R116" s="56">
        <f>Inputs!R66*$I$9</f>
        <v>7.0519086247830954E-4</v>
      </c>
      <c r="S116" s="56">
        <f>Inputs!S66*$I$9</f>
        <v>7.5597383040128133E-4</v>
      </c>
      <c r="T116" s="56">
        <f>Inputs!T66*$I$9</f>
        <v>8.1068565769715564E-4</v>
      </c>
      <c r="U116" s="56">
        <f>Inputs!U66*$I$9</f>
        <v>8.6964119182536754E-4</v>
      </c>
      <c r="V116" s="56">
        <f>Inputs!V66*$I$9</f>
        <v>9.3318105582816679E-4</v>
      </c>
      <c r="W116" s="56">
        <f>Inputs!W66*$I$9</f>
        <v>1.0016737873009426E-3</v>
      </c>
      <c r="X116" s="56">
        <f>Inputs!X66*$I$9</f>
        <v>1.0755181564401205E-3</v>
      </c>
      <c r="Y116" s="56">
        <f>Inputs!Y66*$I$9</f>
        <v>1.1551456782490314E-3</v>
      </c>
      <c r="Z116" s="56">
        <f>Inputs!Z66*$I$9</f>
        <v>1.2406685372881522E-3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6615.6496825920367</v>
      </c>
      <c r="P121" s="70">
        <f t="shared" ref="P121:Z121" si="21">P107*P116*$T$17</f>
        <v>7344.719776662816</v>
      </c>
      <c r="Q121" s="70">
        <f t="shared" si="21"/>
        <v>7865.0522618088216</v>
      </c>
      <c r="R121" s="70">
        <f t="shared" si="21"/>
        <v>8439.8314973167762</v>
      </c>
      <c r="S121" s="70">
        <f t="shared" si="21"/>
        <v>9119.4690280477571</v>
      </c>
      <c r="T121" s="70">
        <f t="shared" si="21"/>
        <v>11309.208674116162</v>
      </c>
      <c r="U121" s="70">
        <f t="shared" si="21"/>
        <v>12463.539063693159</v>
      </c>
      <c r="V121" s="70">
        <f t="shared" si="21"/>
        <v>13374.180814043535</v>
      </c>
      <c r="W121" s="70">
        <f t="shared" si="21"/>
        <v>14355.80615828253</v>
      </c>
      <c r="X121" s="70">
        <f t="shared" si="21"/>
        <v>15414.130198186956</v>
      </c>
      <c r="Y121" s="70">
        <f t="shared" si="21"/>
        <v>16555.337328138237</v>
      </c>
      <c r="Z121" s="70">
        <f t="shared" si="21"/>
        <v>17781.035356810793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51182.245984066598</v>
      </c>
      <c r="P122" s="88">
        <f t="shared" ref="P122:Z122" si="22">P105*P114*$T$44</f>
        <v>61722.949458766314</v>
      </c>
      <c r="Q122" s="88">
        <f t="shared" si="22"/>
        <v>66039.447624006367</v>
      </c>
      <c r="R122" s="88">
        <f t="shared" si="22"/>
        <v>71070.885857414716</v>
      </c>
      <c r="S122" s="88">
        <f t="shared" si="22"/>
        <v>78098.322285599745</v>
      </c>
      <c r="T122" s="88">
        <f t="shared" si="22"/>
        <v>86835.140498903827</v>
      </c>
      <c r="U122" s="88">
        <f t="shared" si="22"/>
        <v>100866.50477227574</v>
      </c>
      <c r="V122" s="88">
        <f t="shared" si="22"/>
        <v>108236.26146723586</v>
      </c>
      <c r="W122" s="88">
        <f t="shared" si="22"/>
        <v>116180.4831656858</v>
      </c>
      <c r="X122" s="88">
        <f t="shared" si="22"/>
        <v>124745.4217658784</v>
      </c>
      <c r="Y122" s="88">
        <f t="shared" si="22"/>
        <v>133981.12711659254</v>
      </c>
      <c r="Z122" s="88">
        <f t="shared" si="22"/>
        <v>143900.61109515323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275.17336550573435</v>
      </c>
      <c r="P123" s="70">
        <f t="shared" ref="P123:Z123" si="23">P105*P115*$T$34</f>
        <v>331.8438142944425</v>
      </c>
      <c r="Q123" s="70">
        <f t="shared" si="23"/>
        <v>355.0507936774535</v>
      </c>
      <c r="R123" s="70">
        <f t="shared" si="23"/>
        <v>382.10153686782104</v>
      </c>
      <c r="S123" s="70">
        <f t="shared" si="23"/>
        <v>419.88345314838563</v>
      </c>
      <c r="T123" s="70">
        <f t="shared" si="23"/>
        <v>466.85559408012813</v>
      </c>
      <c r="U123" s="70">
        <f t="shared" si="23"/>
        <v>542.2930364100846</v>
      </c>
      <c r="V123" s="70">
        <f t="shared" si="23"/>
        <v>581.91538423245083</v>
      </c>
      <c r="W123" s="70">
        <f t="shared" si="23"/>
        <v>624.62625357895581</v>
      </c>
      <c r="X123" s="70">
        <f t="shared" si="23"/>
        <v>670.67431056923863</v>
      </c>
      <c r="Y123" s="70">
        <f t="shared" si="23"/>
        <v>720.32864041178789</v>
      </c>
      <c r="Z123" s="70">
        <f t="shared" si="23"/>
        <v>773.65919943630774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18730.957276912137</v>
      </c>
      <c r="P124" s="88">
        <f t="shared" si="24"/>
        <v>20058.566467729233</v>
      </c>
      <c r="Q124" s="88">
        <f t="shared" si="24"/>
        <v>21488.056665757922</v>
      </c>
      <c r="R124" s="88">
        <f t="shared" si="24"/>
        <v>23027.551161028998</v>
      </c>
      <c r="S124" s="88">
        <f t="shared" si="24"/>
        <v>24685.836107951574</v>
      </c>
      <c r="T124" s="88">
        <f t="shared" si="24"/>
        <v>26472.41541463945</v>
      </c>
      <c r="U124" s="88">
        <f t="shared" si="24"/>
        <v>28397.570221087255</v>
      </c>
      <c r="V124" s="88">
        <f t="shared" si="24"/>
        <v>30472.423352262493</v>
      </c>
      <c r="W124" s="88">
        <f t="shared" si="24"/>
        <v>32709.009164797011</v>
      </c>
      <c r="X124" s="88">
        <f t="shared" si="24"/>
        <v>35120.349241340664</v>
      </c>
      <c r="Y124" s="88">
        <f t="shared" si="24"/>
        <v>37720.534425017853</v>
      </c>
      <c r="Z124" s="88">
        <f t="shared" si="24"/>
        <v>40513.228030036604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2149.1434527108127</v>
      </c>
      <c r="P125" s="70">
        <f t="shared" si="25"/>
        <v>2301.4700294053291</v>
      </c>
      <c r="Q125" s="70">
        <f t="shared" si="25"/>
        <v>2465.486179481888</v>
      </c>
      <c r="R125" s="70">
        <f t="shared" si="25"/>
        <v>2642.1239490354155</v>
      </c>
      <c r="S125" s="70">
        <f t="shared" si="25"/>
        <v>2832.3914395710121</v>
      </c>
      <c r="T125" s="70">
        <f t="shared" si="25"/>
        <v>3037.379105868752</v>
      </c>
      <c r="U125" s="70">
        <f t="shared" si="25"/>
        <v>3258.2665803616796</v>
      </c>
      <c r="V125" s="70">
        <f t="shared" si="25"/>
        <v>3496.3300683232997</v>
      </c>
      <c r="W125" s="70">
        <f t="shared" si="25"/>
        <v>3752.9503619032362</v>
      </c>
      <c r="X125" s="70">
        <f t="shared" si="25"/>
        <v>4029.6215251091194</v>
      </c>
      <c r="Y125" s="70">
        <f t="shared" si="25"/>
        <v>4327.9603062361002</v>
      </c>
      <c r="Z125" s="70">
        <f t="shared" si="25"/>
        <v>4648.3870248454768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5494.1947951551074</v>
      </c>
      <c r="P126" s="70">
        <f t="shared" si="26"/>
        <v>5883.6112781651982</v>
      </c>
      <c r="Q126" s="70">
        <f t="shared" si="26"/>
        <v>6302.9116635979917</v>
      </c>
      <c r="R126" s="70">
        <f t="shared" si="26"/>
        <v>6754.4786880721767</v>
      </c>
      <c r="S126" s="70">
        <f t="shared" si="26"/>
        <v>7240.8895206619372</v>
      </c>
      <c r="T126" s="70">
        <f t="shared" si="26"/>
        <v>7764.9318631232809</v>
      </c>
      <c r="U126" s="70">
        <f t="shared" si="26"/>
        <v>8329.6213961292015</v>
      </c>
      <c r="V126" s="70">
        <f t="shared" si="26"/>
        <v>8938.2206847552825</v>
      </c>
      <c r="W126" s="70">
        <f t="shared" si="26"/>
        <v>9594.2596660246181</v>
      </c>
      <c r="X126" s="70">
        <f t="shared" si="26"/>
        <v>10301.557851698506</v>
      </c>
      <c r="Y126" s="70">
        <f t="shared" si="26"/>
        <v>11064.248390756411</v>
      </c>
      <c r="Z126" s="70">
        <f t="shared" si="26"/>
        <v>11883.405812468623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10725.164601769911</v>
      </c>
      <c r="P127" s="70">
        <f>Inputs!$J$27*$I$11</f>
        <v>10725.164601769911</v>
      </c>
      <c r="Q127" s="70">
        <f>Inputs!$J$27*$I$11</f>
        <v>10725.164601769911</v>
      </c>
      <c r="R127" s="70">
        <f>Inputs!$J$27*$I$11</f>
        <v>10725.164601769911</v>
      </c>
      <c r="S127" s="70">
        <f>Inputs!$J$27*$I$11</f>
        <v>10725.164601769911</v>
      </c>
      <c r="T127" s="70">
        <f>Inputs!$J$27*$I$11</f>
        <v>10725.164601769911</v>
      </c>
      <c r="U127" s="70">
        <f>Inputs!$J$27*$I$11</f>
        <v>10725.164601769911</v>
      </c>
      <c r="V127" s="70">
        <f>Inputs!$J$27*$I$11</f>
        <v>10725.164601769911</v>
      </c>
      <c r="W127" s="70">
        <f>Inputs!$J$27*$I$11</f>
        <v>10725.164601769911</v>
      </c>
      <c r="X127" s="70">
        <f>Inputs!$J$27*$I$11</f>
        <v>10725.164601769911</v>
      </c>
      <c r="Y127" s="70">
        <f>Inputs!$J$27*$I$11</f>
        <v>10725.164601769911</v>
      </c>
      <c r="Z127" s="70">
        <f>Inputs!$J$27*$I$11</f>
        <v>10725.164601769911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95172.529158712321</v>
      </c>
      <c r="P128" s="98">
        <f t="shared" ref="P128:Z128" si="27">SUM(P119:P127)</f>
        <v>108368.32542679325</v>
      </c>
      <c r="Q128" s="98">
        <f t="shared" si="27"/>
        <v>115241.16979010035</v>
      </c>
      <c r="R128" s="98">
        <f t="shared" si="27"/>
        <v>123042.13729150582</v>
      </c>
      <c r="S128" s="98">
        <f t="shared" si="27"/>
        <v>133121.95643675033</v>
      </c>
      <c r="T128" s="98">
        <f t="shared" si="27"/>
        <v>146611.09575250151</v>
      </c>
      <c r="U128" s="98">
        <f t="shared" si="27"/>
        <v>164582.95967172703</v>
      </c>
      <c r="V128" s="98">
        <f t="shared" si="27"/>
        <v>175824.49637262282</v>
      </c>
      <c r="W128" s="98">
        <f t="shared" si="27"/>
        <v>187942.29937204206</v>
      </c>
      <c r="X128" s="98">
        <f t="shared" si="27"/>
        <v>201006.91949455277</v>
      </c>
      <c r="Y128" s="98">
        <f t="shared" si="27"/>
        <v>215094.70080892285</v>
      </c>
      <c r="Z128" s="98">
        <f t="shared" si="27"/>
        <v>230225.49112052095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B'!$I$10</f>
        <v>0</v>
      </c>
      <c r="P135" s="70">
        <f>Inputs!P22*'Scenario B'!$I$10</f>
        <v>0</v>
      </c>
      <c r="Q135" s="70">
        <f>Inputs!Q22*'Scenario B'!$I$10</f>
        <v>0</v>
      </c>
      <c r="R135" s="70">
        <f>Inputs!R22*'Scenario B'!$I$10</f>
        <v>46631.150442477883</v>
      </c>
      <c r="S135" s="70">
        <f>Inputs!S22*'Scenario B'!$I$10</f>
        <v>699467.25663716812</v>
      </c>
      <c r="T135" s="70">
        <f>Inputs!T22*'Scenario B'!$I$10</f>
        <v>2749372.6300884956</v>
      </c>
      <c r="U135" s="70">
        <f>Inputs!U22*'Scenario B'!$I$10</f>
        <v>0</v>
      </c>
      <c r="V135" s="70">
        <f>Inputs!V22*'Scenario B'!$I$10</f>
        <v>0</v>
      </c>
      <c r="W135" s="70">
        <f>Inputs!W22*'Scenario B'!$I$10</f>
        <v>0</v>
      </c>
      <c r="X135" s="70">
        <f>Inputs!X22*'Scenario B'!$I$10</f>
        <v>0</v>
      </c>
      <c r="Y135" s="70">
        <f>Inputs!Y22*'Scenario B'!$I$10</f>
        <v>0</v>
      </c>
      <c r="Z135" s="70">
        <f>Inputs!Z22*'Scenario B'!$I$10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0</v>
      </c>
      <c r="Q136" s="70">
        <f t="shared" si="28"/>
        <v>0</v>
      </c>
      <c r="R136" s="70">
        <f t="shared" si="28"/>
        <v>1</v>
      </c>
      <c r="S136" s="70">
        <f t="shared" si="28"/>
        <v>1</v>
      </c>
      <c r="T136" s="70">
        <f t="shared" si="28"/>
        <v>1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1.0557562500000002</v>
      </c>
      <c r="S137" s="56">
        <f>(S136=1)*(1+Inputs!$J$11)^(SUM(S136:$Z136)-1)</f>
        <v>1.0275000000000001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PMT(Inputs!$J$11,Inputs!$J$12,-SUMPRODUCT('Scenario B'!O135:Z135,'Scenario B'!O137:Z137),0,0)</f>
        <v>130284.26192054911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4569.8527433628324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134854.11466391193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95172.529158712321</v>
      </c>
      <c r="P147" s="70">
        <f t="shared" ref="P147:Z147" si="30">P128</f>
        <v>108368.32542679325</v>
      </c>
      <c r="Q147" s="70">
        <f t="shared" si="30"/>
        <v>115241.16979010035</v>
      </c>
      <c r="R147" s="70">
        <f t="shared" si="30"/>
        <v>123042.13729150582</v>
      </c>
      <c r="S147" s="70">
        <f t="shared" si="30"/>
        <v>133121.95643675033</v>
      </c>
      <c r="T147" s="70">
        <f t="shared" si="30"/>
        <v>146611.09575250151</v>
      </c>
      <c r="U147" s="70">
        <f t="shared" si="30"/>
        <v>164582.95967172703</v>
      </c>
      <c r="V147" s="70">
        <f t="shared" si="30"/>
        <v>175824.49637262282</v>
      </c>
      <c r="W147" s="70">
        <f t="shared" si="30"/>
        <v>187942.29937204206</v>
      </c>
      <c r="X147" s="70">
        <f t="shared" si="30"/>
        <v>201006.91949455277</v>
      </c>
      <c r="Y147" s="70">
        <f t="shared" si="30"/>
        <v>215094.70080892285</v>
      </c>
      <c r="Z147" s="70">
        <f t="shared" si="30"/>
        <v>230225.49112052095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134854.11466391193</v>
      </c>
      <c r="P148" s="70">
        <f t="shared" ref="P148:Z148" si="31">$J$140</f>
        <v>134854.11466391193</v>
      </c>
      <c r="Q148" s="70">
        <f t="shared" si="31"/>
        <v>134854.11466391193</v>
      </c>
      <c r="R148" s="70">
        <f t="shared" si="31"/>
        <v>134854.11466391193</v>
      </c>
      <c r="S148" s="70">
        <f t="shared" si="31"/>
        <v>134854.11466391193</v>
      </c>
      <c r="T148" s="70">
        <f t="shared" si="31"/>
        <v>134854.11466391193</v>
      </c>
      <c r="U148" s="70">
        <f t="shared" si="31"/>
        <v>134854.11466391193</v>
      </c>
      <c r="V148" s="70">
        <f t="shared" si="31"/>
        <v>134854.11466391193</v>
      </c>
      <c r="W148" s="70">
        <f t="shared" si="31"/>
        <v>134854.11466391193</v>
      </c>
      <c r="X148" s="70">
        <f t="shared" si="31"/>
        <v>134854.11466391193</v>
      </c>
      <c r="Y148" s="70">
        <f t="shared" si="31"/>
        <v>134854.11466391193</v>
      </c>
      <c r="Z148" s="70">
        <f t="shared" si="31"/>
        <v>134854.11466391193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32">(P147&gt;=P148)</f>
        <v>0</v>
      </c>
      <c r="Q149" s="99" t="b">
        <f t="shared" si="32"/>
        <v>0</v>
      </c>
      <c r="R149" s="99" t="b">
        <f t="shared" si="32"/>
        <v>0</v>
      </c>
      <c r="S149" s="99" t="b">
        <f t="shared" si="32"/>
        <v>0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North Richmond Transformer No.1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C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C: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31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C'!$I$8,Inputs!$D$52:$D$57,0),MATCH('Scenario C'!$D9,Inputs!$D$52:$O$52,0))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C'!$I$8,Inputs!$D$52:$D$57,0),MATCH('Scenario C'!$D10,Inputs!$D$52:$O$52,0))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C'!$I$8,Inputs!$D$52:$D$57,0),MATCH('Scenario C'!$D11,Inputs!$D$52:$O$52,0))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C'!$I$8,Inputs!$D$52:$D$57,0),MATCH('Scenario C'!$D12,Inputs!$D$52:$O$52,0))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C'!$I$8,Inputs!$D$52:$D$57,0),MATCH('Scenario C'!$D13,Inputs!$D$52:$O$52,0))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C'!$I$8,Inputs!$D$52:$D$57,0),MATCH('Scenario C'!$D14,Inputs!$D$52:$O$52,0))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C'!J17,Inputs!$D$64:$D$66,0))</f>
        <v>3</v>
      </c>
      <c r="J17" s="100" t="s">
        <v>40</v>
      </c>
      <c r="K17" s="101" t="str">
        <f>'Base Case'!K17</f>
        <v>Unserved energy</v>
      </c>
      <c r="L17" s="102"/>
      <c r="M17" s="102"/>
      <c r="N17" s="103"/>
      <c r="O17" s="63">
        <f>O107</f>
        <v>89028986.029676467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17805797.205935296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C'!J18,Inputs!$D$64:$D$66,0))</f>
        <v>3</v>
      </c>
      <c r="J18" s="104" t="s">
        <v>40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C'!J19,Inputs!$D$64:$D$66,0))</f>
        <v>3</v>
      </c>
      <c r="J19" s="104" t="s">
        <v>40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42795388.099056214</v>
      </c>
      <c r="R19" s="71">
        <v>0</v>
      </c>
      <c r="S19" s="72">
        <v>0</v>
      </c>
      <c r="T19" s="73">
        <f>'Base Case'!$T19</f>
        <v>0.2</v>
      </c>
      <c r="U19" s="74">
        <f t="shared" si="0"/>
        <v>8559077.6198112424</v>
      </c>
      <c r="V19" s="75">
        <f t="shared" si="1"/>
        <v>8559077.6198112424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C'!J20,Inputs!$D$64:$D$66,0))</f>
        <v>3</v>
      </c>
      <c r="J20" s="104" t="s">
        <v>40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12816727.136283187</v>
      </c>
      <c r="S20" s="72">
        <v>0</v>
      </c>
      <c r="T20" s="73">
        <f>'Base Case'!$T20</f>
        <v>0.2</v>
      </c>
      <c r="U20" s="74">
        <f t="shared" si="0"/>
        <v>2563345.4272566377</v>
      </c>
      <c r="V20" s="75">
        <f t="shared" si="1"/>
        <v>2563345.4272566377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C'!J21,Inputs!$D$64:$D$66,0))</f>
        <v>3</v>
      </c>
      <c r="J21" s="104" t="s">
        <v>40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2829163.7097345134</v>
      </c>
      <c r="T21" s="73">
        <f>'Base Case'!$T21</f>
        <v>0.2</v>
      </c>
      <c r="U21" s="74">
        <f t="shared" si="0"/>
        <v>565832.74194690271</v>
      </c>
      <c r="V21" s="75">
        <f t="shared" si="1"/>
        <v>565832.74194690271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C'!J22,Inputs!$D$64:$D$66,0))</f>
        <v>3</v>
      </c>
      <c r="J22" s="104" t="s">
        <v>40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56993.62831858408</v>
      </c>
      <c r="R22" s="71">
        <v>0</v>
      </c>
      <c r="S22" s="72">
        <v>0</v>
      </c>
      <c r="T22" s="73">
        <f>'Base Case'!$T22</f>
        <v>0.2</v>
      </c>
      <c r="U22" s="74">
        <f t="shared" si="0"/>
        <v>11398.725663716818</v>
      </c>
      <c r="V22" s="75">
        <f t="shared" si="1"/>
        <v>11398.725663716818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C'!J23,Inputs!$D$64:$D$66,0))</f>
        <v>3</v>
      </c>
      <c r="J23" s="104" t="s">
        <v>40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C'!J24,Inputs!$D$64:$D$66,0))</f>
        <v>3</v>
      </c>
      <c r="J24" s="104" t="s">
        <v>40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C'!J25,Inputs!$D$64:$D$66,0))</f>
        <v>3</v>
      </c>
      <c r="J25" s="104" t="s">
        <v>40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C'!J26,Inputs!$D$64:$D$66,0))</f>
        <v>3</v>
      </c>
      <c r="J26" s="108" t="s">
        <v>40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C'!J27,Inputs!$D$64:$D$66,0))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C'!J28,Inputs!$D$64:$D$66,0))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C'!J29,Inputs!$D$64:$D$66,0))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C'!J30,Inputs!$D$64:$D$66,0))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4272242.3787610624</v>
      </c>
      <c r="S30" s="72">
        <v>0</v>
      </c>
      <c r="T30" s="73">
        <f>'Base Case'!$T30</f>
        <v>0.8</v>
      </c>
      <c r="U30" s="74">
        <f t="shared" si="0"/>
        <v>3417793.9030088503</v>
      </c>
      <c r="V30" s="75">
        <f t="shared" si="1"/>
        <v>3417793.9030088503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C'!J31,Inputs!$D$64:$D$66,0))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953161.44000000018</v>
      </c>
      <c r="T31" s="73">
        <f>'Base Case'!$T31</f>
        <v>0.8</v>
      </c>
      <c r="U31" s="74">
        <f t="shared" si="0"/>
        <v>762529.15200000023</v>
      </c>
      <c r="V31" s="75">
        <f t="shared" si="1"/>
        <v>762529.15200000023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C'!J32,Inputs!$D$64:$D$66,0))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0.8</v>
      </c>
      <c r="U32" s="74">
        <f t="shared" si="0"/>
        <v>45594.90265486727</v>
      </c>
      <c r="V32" s="75">
        <f t="shared" si="1"/>
        <v>45594.90265486727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C'!J33,Inputs!$D$64:$D$66,0))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C'!J34,Inputs!$D$64:$D$66,0))</f>
        <v>2</v>
      </c>
      <c r="J34" s="104" t="s">
        <v>39</v>
      </c>
      <c r="K34" s="105" t="str">
        <f>'Base Case'!K34</f>
        <v>Coincident outage risk</v>
      </c>
      <c r="L34" s="106"/>
      <c r="M34" s="106"/>
      <c r="N34" s="107"/>
      <c r="O34" s="74">
        <f>O105</f>
        <v>19957444.608514745</v>
      </c>
      <c r="P34" s="71">
        <v>0</v>
      </c>
      <c r="Q34" s="70">
        <f>Inputs!$L$161*$I$11</f>
        <v>8127086.95303257</v>
      </c>
      <c r="R34" s="71">
        <v>0</v>
      </c>
      <c r="S34" s="72">
        <v>0</v>
      </c>
      <c r="T34" s="73">
        <f>'Base Case'!$T34</f>
        <v>0.04</v>
      </c>
      <c r="U34" s="74">
        <f t="shared" si="0"/>
        <v>1123381.2624618928</v>
      </c>
      <c r="V34" s="75">
        <f t="shared" si="1"/>
        <v>325083.47812130279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C'!J35,Inputs!$D$64:$D$66,0))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C'!J36,Inputs!$D$64:$D$66,0))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C'!J37,Inputs!$D$64:$D$66,0))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C'!J38,Inputs!$D$64:$D$66,0))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C'!J39,Inputs!$D$64:$D$66,0))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C'!J40,Inputs!$D$64:$D$66,0))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13108.534513274337</v>
      </c>
      <c r="S40" s="72">
        <v>0</v>
      </c>
      <c r="T40" s="73">
        <f>'Base Case'!$T40</f>
        <v>1</v>
      </c>
      <c r="U40" s="74">
        <f t="shared" si="0"/>
        <v>13108.534513274337</v>
      </c>
      <c r="V40" s="75">
        <f t="shared" si="1"/>
        <v>13108.534513274337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C'!J41,Inputs!$D$64:$D$66,0))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69874.188318584071</v>
      </c>
      <c r="T41" s="73">
        <f>'Base Case'!$T41</f>
        <v>1</v>
      </c>
      <c r="U41" s="74">
        <f t="shared" si="0"/>
        <v>69874.188318584071</v>
      </c>
      <c r="V41" s="75">
        <f t="shared" si="1"/>
        <v>69874.188318584071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C'!J42,Inputs!$D$64:$D$66,0))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C'!J43,Inputs!$D$64:$D$66,0))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C'!J44,Inputs!$D$64:$D$66,0))</f>
        <v>1</v>
      </c>
      <c r="J44" s="104" t="s">
        <v>38</v>
      </c>
      <c r="K44" s="105" t="str">
        <f>'Base Case'!K44</f>
        <v>Coincident outage risk</v>
      </c>
      <c r="L44" s="106"/>
      <c r="M44" s="106"/>
      <c r="N44" s="107"/>
      <c r="O44" s="74">
        <f>O105</f>
        <v>19957444.608514745</v>
      </c>
      <c r="P44" s="71">
        <v>0</v>
      </c>
      <c r="Q44" s="70">
        <f>SUM(Inputs!$J$161,Inputs!$L$161*(Inputs!$J$128/Inputs!$L$128))*$I$11</f>
        <v>1612517.2525858274</v>
      </c>
      <c r="R44" s="71">
        <v>0</v>
      </c>
      <c r="S44" s="72">
        <v>0</v>
      </c>
      <c r="T44" s="73">
        <f>'Base Case'!$T44</f>
        <v>0.04</v>
      </c>
      <c r="U44" s="74">
        <f t="shared" si="0"/>
        <v>862798.47444402298</v>
      </c>
      <c r="V44" s="75">
        <f t="shared" si="1"/>
        <v>64500.690103433095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C'!J45,Inputs!$D$64:$D$66,0))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C'!J46,Inputs!$D$64:$D$66,0))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C'!J49,Inputs!$D$64:$D$66,0))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19957444.608514745</v>
      </c>
      <c r="P49" s="70">
        <f t="shared" ref="P49:V49" si="2">SUMIF($I$17:$I$46,$I49,P$17:P$46)</f>
        <v>8261.6387603969597</v>
      </c>
      <c r="Q49" s="70">
        <f t="shared" si="2"/>
        <v>1669510.8809044114</v>
      </c>
      <c r="R49" s="70">
        <f t="shared" si="2"/>
        <v>13108.534513274337</v>
      </c>
      <c r="S49" s="70">
        <f t="shared" si="2"/>
        <v>69874.188318584071</v>
      </c>
      <c r="T49" s="56">
        <f>U49/SUM(O49:S49)</f>
        <v>4.6552498424853511E-2</v>
      </c>
      <c r="U49" s="70">
        <f t="shared" si="2"/>
        <v>1011036.4643548625</v>
      </c>
      <c r="V49" s="70">
        <f t="shared" si="2"/>
        <v>212738.68001427254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C'!J50,Inputs!$D$64:$D$66,0))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19957444.608514745</v>
      </c>
      <c r="P50" s="70">
        <f t="shared" si="3"/>
        <v>28915.735661389357</v>
      </c>
      <c r="Q50" s="70">
        <f t="shared" si="3"/>
        <v>8184080.5813511545</v>
      </c>
      <c r="R50" s="70">
        <f t="shared" si="3"/>
        <v>4272242.3787610624</v>
      </c>
      <c r="S50" s="70">
        <f t="shared" si="3"/>
        <v>953161.44000000018</v>
      </c>
      <c r="T50" s="56">
        <f t="shared" ref="T50:T51" si="4">U50/SUM(O50:S50)</f>
        <v>0.1608712655658624</v>
      </c>
      <c r="U50" s="70">
        <f t="shared" si="3"/>
        <v>5372431.8086547218</v>
      </c>
      <c r="V50" s="70">
        <f t="shared" si="3"/>
        <v>4574134.0243141325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C'!J51,Inputs!$D$64:$D$66,0))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89028986.029676467</v>
      </c>
      <c r="P51" s="70">
        <f t="shared" si="3"/>
        <v>28915.735661389357</v>
      </c>
      <c r="Q51" s="70">
        <f t="shared" si="3"/>
        <v>42852381.7273748</v>
      </c>
      <c r="R51" s="70">
        <f t="shared" si="3"/>
        <v>12816727.136283187</v>
      </c>
      <c r="S51" s="70">
        <f t="shared" si="3"/>
        <v>2829163.7097345134</v>
      </c>
      <c r="T51" s="56">
        <f t="shared" si="4"/>
        <v>0.2</v>
      </c>
      <c r="U51" s="70">
        <f t="shared" si="3"/>
        <v>29511234.86774607</v>
      </c>
      <c r="V51" s="70">
        <f t="shared" si="3"/>
        <v>11705437.661810776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35894703.140755653</v>
      </c>
      <c r="V52" s="88">
        <f>SUM(V49:V51)</f>
        <v>16492310.366139181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C: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97.1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65.2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32.200000000000003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53.128949999999996</v>
      </c>
      <c r="P69" s="70">
        <f>Inputs!P185*$I$12</f>
        <v>54.928650000000005</v>
      </c>
      <c r="Q69" s="70">
        <f>Inputs!Q185*$I$12</f>
        <v>54.845700000000001</v>
      </c>
      <c r="R69" s="70">
        <f>Inputs!R185*$I$12</f>
        <v>54.847799999999999</v>
      </c>
      <c r="S69" s="70">
        <f>Inputs!S185*$I$12</f>
        <v>55.560749999999999</v>
      </c>
      <c r="T69" s="70">
        <f>Inputs!T185*$I$12</f>
        <v>55.92615</v>
      </c>
      <c r="U69" s="70">
        <f>Inputs!U185*$I$12</f>
        <v>58.228800000000007</v>
      </c>
      <c r="V69" s="70">
        <f>Inputs!V185*$I$12</f>
        <v>58.228800000000007</v>
      </c>
      <c r="W69" s="70">
        <f>Inputs!W185*$I$12</f>
        <v>58.228800000000007</v>
      </c>
      <c r="X69" s="70">
        <f>Inputs!X185*$I$12</f>
        <v>58.228800000000007</v>
      </c>
      <c r="Y69" s="70">
        <f>Inputs!Y185*$I$12</f>
        <v>58.228800000000007</v>
      </c>
      <c r="Z69" s="70">
        <f>Inputs!Z185*$I$12</f>
        <v>58.228800000000007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48.956250000000004</v>
      </c>
      <c r="P70" s="70">
        <f>Inputs!P186*$I$12</f>
        <v>50.818950000000001</v>
      </c>
      <c r="Q70" s="70">
        <f>Inputs!Q186*$I$12</f>
        <v>50.825250000000004</v>
      </c>
      <c r="R70" s="70">
        <f>Inputs!R186*$I$12</f>
        <v>50.923950000000005</v>
      </c>
      <c r="S70" s="70">
        <f>Inputs!S186*$I$12</f>
        <v>51.20955</v>
      </c>
      <c r="T70" s="70">
        <f>Inputs!T186*$I$12</f>
        <v>51.9435</v>
      </c>
      <c r="U70" s="70">
        <f>Inputs!U186*$I$12</f>
        <v>53.033400000000007</v>
      </c>
      <c r="V70" s="70">
        <f>Inputs!V186*$I$12</f>
        <v>53.033400000000007</v>
      </c>
      <c r="W70" s="70">
        <f>Inputs!W186*$I$12</f>
        <v>53.033400000000007</v>
      </c>
      <c r="X70" s="70">
        <f>Inputs!X186*$I$12</f>
        <v>53.033400000000007</v>
      </c>
      <c r="Y70" s="70">
        <f>Inputs!Y186*$I$12</f>
        <v>53.033400000000007</v>
      </c>
      <c r="Z70" s="70">
        <f>Inputs!Z186*$I$12</f>
        <v>53.033400000000007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50.208060000000003</v>
      </c>
      <c r="P71" s="70">
        <f>Inputs!P187*$I$12</f>
        <v>52.051860000000005</v>
      </c>
      <c r="Q71" s="70">
        <f>Inputs!Q187*$I$12</f>
        <v>52.031385</v>
      </c>
      <c r="R71" s="70">
        <f>Inputs!R187*$I$12</f>
        <v>52.101105000000004</v>
      </c>
      <c r="S71" s="70">
        <f>Inputs!S187*$I$12</f>
        <v>52.514910000000008</v>
      </c>
      <c r="T71" s="70">
        <f>Inputs!T187*$I$12</f>
        <v>53.138295000000006</v>
      </c>
      <c r="U71" s="70">
        <f>Inputs!U187*$I$12</f>
        <v>54.592020000000005</v>
      </c>
      <c r="V71" s="70">
        <f>Inputs!V187*$I$12</f>
        <v>54.592020000000005</v>
      </c>
      <c r="W71" s="70">
        <f>Inputs!W187*$I$12</f>
        <v>54.592020000000005</v>
      </c>
      <c r="X71" s="70">
        <f>Inputs!X187*$I$12</f>
        <v>54.592020000000005</v>
      </c>
      <c r="Y71" s="70">
        <f>Inputs!Y187*$I$12</f>
        <v>54.592020000000005</v>
      </c>
      <c r="Z71" s="70">
        <f>Inputs!Z187*$I$12</f>
        <v>54.592020000000005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18.00806</v>
      </c>
      <c r="P78" s="70">
        <f t="shared" si="5"/>
        <v>19.851860000000002</v>
      </c>
      <c r="Q78" s="70">
        <f t="shared" si="5"/>
        <v>19.831384999999997</v>
      </c>
      <c r="R78" s="70">
        <f t="shared" si="5"/>
        <v>19.901105000000001</v>
      </c>
      <c r="S78" s="70">
        <f t="shared" si="5"/>
        <v>20.314910000000005</v>
      </c>
      <c r="T78" s="70">
        <f t="shared" si="5"/>
        <v>20.938295000000004</v>
      </c>
      <c r="U78" s="70">
        <f t="shared" si="5"/>
        <v>22.392020000000002</v>
      </c>
      <c r="V78" s="70">
        <f t="shared" si="5"/>
        <v>22.392020000000002</v>
      </c>
      <c r="W78" s="70">
        <f t="shared" si="5"/>
        <v>22.392020000000002</v>
      </c>
      <c r="X78" s="70">
        <f t="shared" si="5"/>
        <v>22.392020000000002</v>
      </c>
      <c r="Y78" s="70">
        <f t="shared" si="5"/>
        <v>22.392020000000002</v>
      </c>
      <c r="Z78" s="70">
        <f t="shared" si="5"/>
        <v>22.392020000000002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50.208060000000003</v>
      </c>
      <c r="P79" s="70">
        <f t="shared" si="5"/>
        <v>52.051860000000005</v>
      </c>
      <c r="Q79" s="70">
        <f t="shared" si="5"/>
        <v>52.031385</v>
      </c>
      <c r="R79" s="70">
        <f t="shared" si="5"/>
        <v>52.101105000000004</v>
      </c>
      <c r="S79" s="70">
        <f t="shared" si="5"/>
        <v>52.514910000000008</v>
      </c>
      <c r="T79" s="70">
        <f t="shared" si="5"/>
        <v>53.138295000000006</v>
      </c>
      <c r="U79" s="70">
        <f t="shared" si="5"/>
        <v>54.592020000000005</v>
      </c>
      <c r="V79" s="70">
        <f t="shared" si="5"/>
        <v>54.592020000000005</v>
      </c>
      <c r="W79" s="70">
        <f t="shared" si="5"/>
        <v>54.592020000000005</v>
      </c>
      <c r="X79" s="70">
        <f t="shared" si="5"/>
        <v>54.592020000000005</v>
      </c>
      <c r="Y79" s="70">
        <f t="shared" si="5"/>
        <v>54.592020000000005</v>
      </c>
      <c r="Z79" s="70">
        <f t="shared" si="5"/>
        <v>54.592020000000005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50.208060000000003</v>
      </c>
      <c r="P80" s="70">
        <f t="shared" si="5"/>
        <v>52.051860000000005</v>
      </c>
      <c r="Q80" s="70">
        <f t="shared" si="5"/>
        <v>52.031385</v>
      </c>
      <c r="R80" s="70">
        <f t="shared" si="5"/>
        <v>52.101105000000004</v>
      </c>
      <c r="S80" s="70">
        <f t="shared" si="5"/>
        <v>52.514910000000008</v>
      </c>
      <c r="T80" s="70">
        <f t="shared" si="5"/>
        <v>53.138295000000006</v>
      </c>
      <c r="U80" s="70">
        <f t="shared" si="5"/>
        <v>54.592020000000005</v>
      </c>
      <c r="V80" s="70">
        <f t="shared" si="5"/>
        <v>54.592020000000005</v>
      </c>
      <c r="W80" s="70">
        <f t="shared" si="5"/>
        <v>54.592020000000005</v>
      </c>
      <c r="X80" s="70">
        <f t="shared" si="5"/>
        <v>54.592020000000005</v>
      </c>
      <c r="Y80" s="70">
        <f t="shared" si="5"/>
        <v>54.592020000000005</v>
      </c>
      <c r="Z80" s="70">
        <f t="shared" si="5"/>
        <v>54.592020000000005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167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168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6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3">MAX(0,((P94-1)-1)/2)</f>
        <v>2</v>
      </c>
      <c r="Q95" s="70">
        <f t="shared" si="13"/>
        <v>2</v>
      </c>
      <c r="R95" s="70">
        <f t="shared" si="13"/>
        <v>2</v>
      </c>
      <c r="S95" s="70">
        <f t="shared" si="13"/>
        <v>2</v>
      </c>
      <c r="T95" s="70">
        <f t="shared" si="13"/>
        <v>2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4">IFERROR((P94-P95)/P94,0)*MAX(0,P94)</f>
        <v>4</v>
      </c>
      <c r="Q96" s="93">
        <f t="shared" si="14"/>
        <v>4</v>
      </c>
      <c r="R96" s="93">
        <f t="shared" si="14"/>
        <v>4</v>
      </c>
      <c r="S96" s="93">
        <f t="shared" si="14"/>
        <v>4</v>
      </c>
      <c r="T96" s="93">
        <f t="shared" si="14"/>
        <v>4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6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5">MAX(0,((P97-1)-1)/2)</f>
        <v>2</v>
      </c>
      <c r="Q98" s="70">
        <f t="shared" si="15"/>
        <v>2</v>
      </c>
      <c r="R98" s="70">
        <f t="shared" si="15"/>
        <v>2</v>
      </c>
      <c r="S98" s="70">
        <f t="shared" si="15"/>
        <v>2</v>
      </c>
      <c r="T98" s="70">
        <f t="shared" si="15"/>
        <v>2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16">IFERROR((P97-P98)/P97,0)*MAX(0,P97)</f>
        <v>4</v>
      </c>
      <c r="Q99" s="93">
        <f t="shared" si="16"/>
        <v>4</v>
      </c>
      <c r="R99" s="93">
        <f t="shared" si="16"/>
        <v>4</v>
      </c>
      <c r="S99" s="93">
        <f t="shared" si="16"/>
        <v>4</v>
      </c>
      <c r="T99" s="93">
        <f t="shared" si="16"/>
        <v>4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19957444.608514745</v>
      </c>
      <c r="P105" s="70">
        <f>P78*Inputs!$M$75*IF(Inputs!$M$126&gt;0,Inputs!$M$126,P93*Inputs!$J$123)*$I$13</f>
        <v>22000837.198787075</v>
      </c>
      <c r="Q105" s="70">
        <f>Q78*Inputs!$M$75*IF(Inputs!$M$126&gt;0,Inputs!$M$126,Q93*Inputs!$J$123)*$I$13</f>
        <v>21978145.766264115</v>
      </c>
      <c r="R105" s="70">
        <f>R78*Inputs!$M$75*IF(Inputs!$M$126&gt;0,Inputs!$M$126,R93*Inputs!$J$123)*$I$13</f>
        <v>22055413.003162801</v>
      </c>
      <c r="S105" s="70">
        <f>S78*Inputs!$M$75*IF(Inputs!$M$126&gt;0,Inputs!$M$126,S93*Inputs!$J$123)*$I$13</f>
        <v>22514012.672767773</v>
      </c>
      <c r="T105" s="70">
        <f>T78*Inputs!$M$75*IF(Inputs!$M$126&gt;0,Inputs!$M$126,T93*Inputs!$J$123)*$I$13</f>
        <v>23204879.518351298</v>
      </c>
      <c r="U105" s="70">
        <f>U78*Inputs!$M$75*IF(Inputs!$M$126&gt;0,Inputs!$M$126,U93*Inputs!$J$123)*$I$13</f>
        <v>24815971.22748116</v>
      </c>
      <c r="V105" s="70">
        <f>V78*Inputs!$M$75*IF(Inputs!$M$126&gt;0,Inputs!$M$126,V93*Inputs!$J$123)*$I$13</f>
        <v>24815971.22748116</v>
      </c>
      <c r="W105" s="70">
        <f>W78*Inputs!$M$75*IF(Inputs!$M$126&gt;0,Inputs!$M$126,W93*Inputs!$J$123)*$I$13</f>
        <v>24815971.22748116</v>
      </c>
      <c r="X105" s="70">
        <f>X78*Inputs!$M$75*IF(Inputs!$M$126&gt;0,Inputs!$M$126,X93*Inputs!$J$123)*$I$13</f>
        <v>24815971.22748116</v>
      </c>
      <c r="Y105" s="70">
        <f>Y78*Inputs!$M$75*IF(Inputs!$M$126&gt;0,Inputs!$M$126,Y93*Inputs!$J$123)*$I$13</f>
        <v>24815971.22748116</v>
      </c>
      <c r="Z105" s="70">
        <f>Z78*Inputs!$M$75*IF(Inputs!$M$126&gt;0,Inputs!$M$126,Z93*Inputs!$J$123)*$I$13</f>
        <v>24815971.22748116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89028986.029676467</v>
      </c>
      <c r="P106" s="70">
        <f>P79*Inputs!$M$75*IF(Inputs!$M$126&gt;0,Inputs!$M$126,P96*Inputs!$J$123)*$I$13</f>
        <v>92298414.174112201</v>
      </c>
      <c r="Q106" s="70">
        <f>Q79*Inputs!$M$75*IF(Inputs!$M$126&gt;0,Inputs!$M$126,Q96*Inputs!$J$123)*$I$13</f>
        <v>92262107.882075474</v>
      </c>
      <c r="R106" s="70">
        <f>R79*Inputs!$M$75*IF(Inputs!$M$126&gt;0,Inputs!$M$126,R96*Inputs!$J$123)*$I$13</f>
        <v>92385735.461113349</v>
      </c>
      <c r="S106" s="70">
        <f>S79*Inputs!$M$75*IF(Inputs!$M$126&gt;0,Inputs!$M$126,S96*Inputs!$J$123)*$I$13</f>
        <v>93119494.932481319</v>
      </c>
      <c r="T106" s="70">
        <f>T79*Inputs!$M$75*IF(Inputs!$M$126&gt;0,Inputs!$M$126,T96*Inputs!$J$123)*$I$13</f>
        <v>94224881.885414973</v>
      </c>
      <c r="U106" s="70">
        <f>U79*Inputs!$M$75*IF(Inputs!$M$126&gt;0,Inputs!$M$126,U96*Inputs!$J$123)*$I$13</f>
        <v>96802628.620022744</v>
      </c>
      <c r="V106" s="70">
        <f>V79*Inputs!$M$75*IF(Inputs!$M$126&gt;0,Inputs!$M$126,V96*Inputs!$J$123)*$I$13</f>
        <v>96802628.620022744</v>
      </c>
      <c r="W106" s="70">
        <f>W79*Inputs!$M$75*IF(Inputs!$M$126&gt;0,Inputs!$M$126,W96*Inputs!$J$123)*$I$13</f>
        <v>96802628.620022744</v>
      </c>
      <c r="X106" s="70">
        <f>X79*Inputs!$M$75*IF(Inputs!$M$126&gt;0,Inputs!$M$126,X96*Inputs!$J$123)*$I$13</f>
        <v>96802628.620022744</v>
      </c>
      <c r="Y106" s="70">
        <f>Y79*Inputs!$M$75*IF(Inputs!$M$126&gt;0,Inputs!$M$126,Y96*Inputs!$J$123)*$I$13</f>
        <v>96802628.620022744</v>
      </c>
      <c r="Z106" s="70">
        <f>Z79*Inputs!$M$75*IF(Inputs!$M$126&gt;0,Inputs!$M$126,Z96*Inputs!$J$123)*$I$13</f>
        <v>96802628.620022744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89028986.029676467</v>
      </c>
      <c r="P107" s="70">
        <f>P80*Inputs!$M$75*IF(Inputs!$M$126&gt;0,Inputs!$M$126,P99*Inputs!$J$123)*$I$13</f>
        <v>92298414.174112201</v>
      </c>
      <c r="Q107" s="70">
        <f>Q80*Inputs!$M$75*IF(Inputs!$M$126&gt;0,Inputs!$M$126,Q99*Inputs!$J$123)*$I$13</f>
        <v>92262107.882075474</v>
      </c>
      <c r="R107" s="70">
        <f>R80*Inputs!$M$75*IF(Inputs!$M$126&gt;0,Inputs!$M$126,R99*Inputs!$J$123)*$I$13</f>
        <v>92385735.461113349</v>
      </c>
      <c r="S107" s="70">
        <f>S80*Inputs!$M$75*IF(Inputs!$M$126&gt;0,Inputs!$M$126,S99*Inputs!$J$123)*$I$13</f>
        <v>93119494.932481319</v>
      </c>
      <c r="T107" s="70">
        <f>T80*Inputs!$M$75*IF(Inputs!$M$126&gt;0,Inputs!$M$126,T99*Inputs!$J$123)*$I$13</f>
        <v>94224881.885414973</v>
      </c>
      <c r="U107" s="70">
        <f>U80*Inputs!$M$75*IF(Inputs!$M$126&gt;0,Inputs!$M$126,U99*Inputs!$J$123)*$I$13</f>
        <v>96802628.620022744</v>
      </c>
      <c r="V107" s="70">
        <f>V80*Inputs!$M$75*IF(Inputs!$M$126&gt;0,Inputs!$M$126,V99*Inputs!$J$123)*$I$13</f>
        <v>96802628.620022744</v>
      </c>
      <c r="W107" s="70">
        <f>W80*Inputs!$M$75*IF(Inputs!$M$126&gt;0,Inputs!$M$126,W99*Inputs!$J$123)*$I$13</f>
        <v>96802628.620022744</v>
      </c>
      <c r="X107" s="70">
        <f>X80*Inputs!$M$75*IF(Inputs!$M$126&gt;0,Inputs!$M$126,X99*Inputs!$J$123)*$I$13</f>
        <v>96802628.620022744</v>
      </c>
      <c r="Y107" s="70">
        <f>Y80*Inputs!$M$75*IF(Inputs!$M$126&gt;0,Inputs!$M$126,Y99*Inputs!$J$123)*$I$13</f>
        <v>96802628.620022744</v>
      </c>
      <c r="Z107" s="70">
        <f>Z80*Inputs!$M$75*IF(Inputs!$M$126&gt;0,Inputs!$M$126,Z99*Inputs!$J$123)*$I$13</f>
        <v>96802628.620022744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0.13040132781960678</v>
      </c>
      <c r="P114" s="56">
        <f>Inputs!P64*$I$9</f>
        <v>0.13964388807686892</v>
      </c>
      <c r="Q114" s="56">
        <f>Inputs!Q64*$I$9</f>
        <v>0.14959572434301749</v>
      </c>
      <c r="R114" s="56">
        <f>Inputs!R64*$I$9</f>
        <v>0.1603133894034024</v>
      </c>
      <c r="S114" s="56">
        <f>Inputs!S64*$I$9</f>
        <v>0.17185805077789132</v>
      </c>
      <c r="T114" s="56">
        <f>Inputs!T64*$I$9</f>
        <v>0.18429587284982005</v>
      </c>
      <c r="U114" s="56">
        <f>Inputs!U64*$I$9</f>
        <v>0.19769843094163356</v>
      </c>
      <c r="V114" s="56">
        <f>Inputs!V64*$I$9</f>
        <v>0.21214316002493661</v>
      </c>
      <c r="W114" s="56">
        <f>Inputs!W64*$I$9</f>
        <v>0.22771384097974767</v>
      </c>
      <c r="X114" s="56">
        <f>Inputs!X64*$I$9</f>
        <v>0.24450112756405412</v>
      </c>
      <c r="Y114" s="56">
        <f>Inputs!Y64*$I$9</f>
        <v>0.26260311752194648</v>
      </c>
      <c r="Z114" s="56">
        <f>Inputs!Z64*$I$9</f>
        <v>0.28204531414350664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7.0108240763229446E-4</v>
      </c>
      <c r="P115" s="56">
        <f>Inputs!P65*$I$9</f>
        <v>7.5077359181112315E-4</v>
      </c>
      <c r="Q115" s="56">
        <f>Inputs!Q65*$I$9</f>
        <v>8.0427808786568528E-4</v>
      </c>
      <c r="R115" s="56">
        <f>Inputs!R65*$I$9</f>
        <v>8.6189994302904511E-4</v>
      </c>
      <c r="S115" s="56">
        <f>Inputs!S65*$I$9</f>
        <v>9.2396801493489951E-4</v>
      </c>
      <c r="T115" s="56">
        <f>Inputs!T65*$I$9</f>
        <v>9.9083802607430132E-4</v>
      </c>
      <c r="U115" s="56">
        <f>Inputs!U65*$I$9</f>
        <v>1.0628947900087826E-3</v>
      </c>
      <c r="V115" s="56">
        <f>Inputs!V65*$I$9</f>
        <v>1.1405546237899817E-3</v>
      </c>
      <c r="W115" s="56">
        <f>Inputs!W65*$I$9</f>
        <v>1.2242679622567077E-3</v>
      </c>
      <c r="X115" s="56">
        <f>Inputs!X65*$I$9</f>
        <v>1.3145221912045919E-3</v>
      </c>
      <c r="Y115" s="56">
        <f>Inputs!Y65*$I$9</f>
        <v>1.4118447178599273E-3</v>
      </c>
      <c r="Z115" s="56">
        <f>Inputs!Z65*$I$9</f>
        <v>1.5163726566855195E-3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7.0108240763229446E-4</v>
      </c>
      <c r="P116" s="56">
        <f>Inputs!P66*$I$9</f>
        <v>7.5077359181112315E-4</v>
      </c>
      <c r="Q116" s="56">
        <f>Inputs!Q66*$I$9</f>
        <v>8.0427808786568528E-4</v>
      </c>
      <c r="R116" s="56">
        <f>Inputs!R66*$I$9</f>
        <v>8.6189994302904511E-4</v>
      </c>
      <c r="S116" s="56">
        <f>Inputs!S66*$I$9</f>
        <v>9.2396801493489951E-4</v>
      </c>
      <c r="T116" s="56">
        <f>Inputs!T66*$I$9</f>
        <v>9.9083802607430132E-4</v>
      </c>
      <c r="U116" s="56">
        <f>Inputs!U66*$I$9</f>
        <v>1.0628947900087826E-3</v>
      </c>
      <c r="V116" s="56">
        <f>Inputs!V66*$I$9</f>
        <v>1.1405546237899817E-3</v>
      </c>
      <c r="W116" s="56">
        <f>Inputs!W66*$I$9</f>
        <v>1.2242679622567077E-3</v>
      </c>
      <c r="X116" s="56">
        <f>Inputs!X66*$I$9</f>
        <v>1.3145221912045919E-3</v>
      </c>
      <c r="Y116" s="56">
        <f>Inputs!Y66*$I$9</f>
        <v>1.4118447178599273E-3</v>
      </c>
      <c r="Z116" s="56">
        <f>Inputs!Z66*$I$9</f>
        <v>1.5163726566855195E-3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12483.331174949497</v>
      </c>
      <c r="P121" s="70">
        <f t="shared" ref="P121:Z121" si="21">P107*P116*$T$17</f>
        <v>13859.042385593779</v>
      </c>
      <c r="Q121" s="70">
        <f t="shared" si="21"/>
        <v>14840.878341970645</v>
      </c>
      <c r="R121" s="70">
        <f t="shared" si="21"/>
        <v>15925.452026126004</v>
      </c>
      <c r="S121" s="70">
        <f t="shared" si="21"/>
        <v>17207.886976901042</v>
      </c>
      <c r="T121" s="70">
        <f t="shared" si="21"/>
        <v>18672.319194885753</v>
      </c>
      <c r="U121" s="70">
        <f t="shared" si="21"/>
        <v>20578.201923875447</v>
      </c>
      <c r="V121" s="70">
        <f t="shared" si="21"/>
        <v>22081.737133518272</v>
      </c>
      <c r="W121" s="70">
        <f t="shared" si="21"/>
        <v>23702.471376345624</v>
      </c>
      <c r="X121" s="70">
        <f t="shared" si="21"/>
        <v>25449.840697591328</v>
      </c>
      <c r="Y121" s="70">
        <f t="shared" si="21"/>
        <v>27334.055978427066</v>
      </c>
      <c r="Z121" s="70">
        <f t="shared" si="21"/>
        <v>29357.771826937122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104099.091073463</v>
      </c>
      <c r="P122" s="88">
        <f t="shared" ref="P122:Z122" si="22">P105*P114*$T$44</f>
        <v>122891.29789539347</v>
      </c>
      <c r="Q122" s="88">
        <f t="shared" si="22"/>
        <v>131513.46542482814</v>
      </c>
      <c r="R122" s="88">
        <f t="shared" si="22"/>
        <v>141431.12052915612</v>
      </c>
      <c r="S122" s="88">
        <f t="shared" si="22"/>
        <v>154768.57332522451</v>
      </c>
      <c r="T122" s="88">
        <f t="shared" si="22"/>
        <v>171062.54100837858</v>
      </c>
      <c r="U122" s="88">
        <f t="shared" si="22"/>
        <v>196243.14295862999</v>
      </c>
      <c r="V122" s="88">
        <f t="shared" si="22"/>
        <v>210581.54221143035</v>
      </c>
      <c r="W122" s="88">
        <f t="shared" si="22"/>
        <v>226037.60503410557</v>
      </c>
      <c r="X122" s="88">
        <f t="shared" si="22"/>
        <v>242701.31786865072</v>
      </c>
      <c r="Y122" s="88">
        <f t="shared" si="22"/>
        <v>260670.05634685911</v>
      </c>
      <c r="Z122" s="88">
        <f t="shared" si="22"/>
        <v>279969.13602524583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559.67253265302691</v>
      </c>
      <c r="P123" s="70">
        <f t="shared" ref="P123:Z123" si="23">P105*P115*$T$34</f>
        <v>660.70590266340571</v>
      </c>
      <c r="Q123" s="70">
        <f t="shared" si="23"/>
        <v>707.06164206896835</v>
      </c>
      <c r="R123" s="70">
        <f t="shared" si="23"/>
        <v>760.38236843632319</v>
      </c>
      <c r="S123" s="70">
        <f t="shared" si="23"/>
        <v>832.08910389905657</v>
      </c>
      <c r="T123" s="70">
        <f t="shared" si="23"/>
        <v>919.69108069020729</v>
      </c>
      <c r="U123" s="70">
        <f t="shared" si="23"/>
        <v>1055.0706610679031</v>
      </c>
      <c r="V123" s="70">
        <f t="shared" si="23"/>
        <v>1132.1588290937113</v>
      </c>
      <c r="W123" s="70">
        <f t="shared" si="23"/>
        <v>1215.2559410435781</v>
      </c>
      <c r="X123" s="70">
        <f t="shared" si="23"/>
        <v>1304.8457949927456</v>
      </c>
      <c r="Y123" s="70">
        <f t="shared" si="23"/>
        <v>1401.4519158433284</v>
      </c>
      <c r="Z123" s="70">
        <f t="shared" si="23"/>
        <v>1505.2104087378809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27741.406352451584</v>
      </c>
      <c r="P124" s="88">
        <f t="shared" si="24"/>
        <v>29707.656421533906</v>
      </c>
      <c r="Q124" s="88">
        <f t="shared" si="24"/>
        <v>31824.79693251252</v>
      </c>
      <c r="R124" s="88">
        <f t="shared" si="24"/>
        <v>34104.858850293895</v>
      </c>
      <c r="S124" s="88">
        <f t="shared" si="24"/>
        <v>36560.854872314427</v>
      </c>
      <c r="T124" s="88">
        <f t="shared" si="24"/>
        <v>39206.860722148922</v>
      </c>
      <c r="U124" s="88">
        <f t="shared" si="24"/>
        <v>42058.103239415941</v>
      </c>
      <c r="V124" s="88">
        <f t="shared" si="24"/>
        <v>45131.055837761603</v>
      </c>
      <c r="W124" s="88">
        <f t="shared" si="24"/>
        <v>48443.541951011481</v>
      </c>
      <c r="X124" s="88">
        <f t="shared" si="24"/>
        <v>52014.847139978141</v>
      </c>
      <c r="Y124" s="88">
        <f t="shared" si="24"/>
        <v>55865.840589251777</v>
      </c>
      <c r="Z124" s="88">
        <f t="shared" si="24"/>
        <v>60001.947835100436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3206.844894598948</v>
      </c>
      <c r="P125" s="70">
        <f t="shared" si="25"/>
        <v>3434.1390308597888</v>
      </c>
      <c r="Q125" s="70">
        <f t="shared" si="25"/>
        <v>3678.8757667167424</v>
      </c>
      <c r="R125" s="70">
        <f t="shared" si="25"/>
        <v>3942.4458549635679</v>
      </c>
      <c r="S125" s="70">
        <f t="shared" si="25"/>
        <v>4226.3535344917127</v>
      </c>
      <c r="T125" s="70">
        <f t="shared" si="25"/>
        <v>4532.2259276507157</v>
      </c>
      <c r="U125" s="70">
        <f t="shared" si="25"/>
        <v>4861.8232232453975</v>
      </c>
      <c r="V125" s="70">
        <f t="shared" si="25"/>
        <v>5217.0497112665607</v>
      </c>
      <c r="W125" s="70">
        <f t="shared" si="25"/>
        <v>5599.9657410361369</v>
      </c>
      <c r="X125" s="70">
        <f t="shared" si="25"/>
        <v>6012.8006805048917</v>
      </c>
      <c r="Y125" s="70">
        <f t="shared" si="25"/>
        <v>6457.9669610112805</v>
      </c>
      <c r="Z125" s="70">
        <f t="shared" si="25"/>
        <v>6936.091762484848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8206.4764183320349</v>
      </c>
      <c r="P126" s="70">
        <f t="shared" si="26"/>
        <v>8788.1334770788708</v>
      </c>
      <c r="Q126" s="70">
        <f t="shared" si="26"/>
        <v>9414.4270202721491</v>
      </c>
      <c r="R126" s="70">
        <f t="shared" si="26"/>
        <v>10088.916053844747</v>
      </c>
      <c r="S126" s="70">
        <f t="shared" si="26"/>
        <v>10815.450000327515</v>
      </c>
      <c r="T126" s="70">
        <f t="shared" si="26"/>
        <v>11598.192747164374</v>
      </c>
      <c r="U126" s="70">
        <f t="shared" si="26"/>
        <v>12441.648705511259</v>
      </c>
      <c r="V126" s="70">
        <f t="shared" si="26"/>
        <v>13350.691048663673</v>
      </c>
      <c r="W126" s="70">
        <f t="shared" si="26"/>
        <v>14330.592313548001</v>
      </c>
      <c r="X126" s="70">
        <f t="shared" si="26"/>
        <v>15387.057564212257</v>
      </c>
      <c r="Y126" s="70">
        <f t="shared" si="26"/>
        <v>16526.260333066202</v>
      </c>
      <c r="Z126" s="70">
        <f t="shared" si="26"/>
        <v>17749.805604906742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13108.534513274337</v>
      </c>
      <c r="P127" s="70">
        <f>Inputs!$J$27*$I$11</f>
        <v>13108.534513274337</v>
      </c>
      <c r="Q127" s="70">
        <f>Inputs!$J$27*$I$11</f>
        <v>13108.534513274337</v>
      </c>
      <c r="R127" s="70">
        <f>Inputs!$J$27*$I$11</f>
        <v>13108.534513274337</v>
      </c>
      <c r="S127" s="70">
        <f>Inputs!$J$27*$I$11</f>
        <v>13108.534513274337</v>
      </c>
      <c r="T127" s="70">
        <f>Inputs!$J$27*$I$11</f>
        <v>13108.534513274337</v>
      </c>
      <c r="U127" s="70">
        <f>Inputs!$J$27*$I$11</f>
        <v>13108.534513274337</v>
      </c>
      <c r="V127" s="70">
        <f>Inputs!$J$27*$I$11</f>
        <v>13108.534513274337</v>
      </c>
      <c r="W127" s="70">
        <f>Inputs!$J$27*$I$11</f>
        <v>13108.534513274337</v>
      </c>
      <c r="X127" s="70">
        <f>Inputs!$J$27*$I$11</f>
        <v>13108.534513274337</v>
      </c>
      <c r="Y127" s="70">
        <f>Inputs!$J$27*$I$11</f>
        <v>13108.534513274337</v>
      </c>
      <c r="Z127" s="70">
        <f>Inputs!$J$27*$I$11</f>
        <v>13108.534513274337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169405.35695972241</v>
      </c>
      <c r="P128" s="98">
        <f t="shared" ref="P128:Z128" si="27">SUM(P119:P127)</f>
        <v>192449.50962639751</v>
      </c>
      <c r="Q128" s="98">
        <f t="shared" si="27"/>
        <v>205088.0396416435</v>
      </c>
      <c r="R128" s="98">
        <f t="shared" si="27"/>
        <v>219361.71019609494</v>
      </c>
      <c r="S128" s="98">
        <f t="shared" si="27"/>
        <v>237519.74232643258</v>
      </c>
      <c r="T128" s="98">
        <f t="shared" si="27"/>
        <v>259100.36519419291</v>
      </c>
      <c r="U128" s="98">
        <f t="shared" si="27"/>
        <v>290346.52522502025</v>
      </c>
      <c r="V128" s="98">
        <f t="shared" si="27"/>
        <v>310602.76928500849</v>
      </c>
      <c r="W128" s="98">
        <f t="shared" si="27"/>
        <v>332437.96687036473</v>
      </c>
      <c r="X128" s="98">
        <f t="shared" si="27"/>
        <v>355979.24425920437</v>
      </c>
      <c r="Y128" s="98">
        <f t="shared" si="27"/>
        <v>381364.16663773317</v>
      </c>
      <c r="Z128" s="98">
        <f t="shared" si="27"/>
        <v>408628.49797668715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C'!$I$10</f>
        <v>0</v>
      </c>
      <c r="P135" s="70">
        <f>Inputs!P22*'Scenario C'!$I$10</f>
        <v>0</v>
      </c>
      <c r="Q135" s="70">
        <f>Inputs!Q22*'Scenario C'!$I$10</f>
        <v>0</v>
      </c>
      <c r="R135" s="70">
        <f>Inputs!R22*'Scenario C'!$I$10</f>
        <v>56993.62831858408</v>
      </c>
      <c r="S135" s="70">
        <f>Inputs!S22*'Scenario C'!$I$10</f>
        <v>854904.42477876111</v>
      </c>
      <c r="T135" s="70">
        <f>Inputs!T22*'Scenario C'!$I$10</f>
        <v>3360344.325663717</v>
      </c>
      <c r="U135" s="70">
        <f>Inputs!U22*'Scenario C'!$I$10</f>
        <v>0</v>
      </c>
      <c r="V135" s="70">
        <f>Inputs!V22*'Scenario C'!$I$10</f>
        <v>0</v>
      </c>
      <c r="W135" s="70">
        <f>Inputs!W22*'Scenario C'!$I$10</f>
        <v>0</v>
      </c>
      <c r="X135" s="70">
        <f>Inputs!X22*'Scenario C'!$I$10</f>
        <v>0</v>
      </c>
      <c r="Y135" s="70">
        <f>Inputs!Y22*'Scenario C'!$I$10</f>
        <v>0</v>
      </c>
      <c r="Z135" s="70">
        <f>Inputs!Z22*'Scenario C'!$I$10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0</v>
      </c>
      <c r="Q136" s="70">
        <f t="shared" si="28"/>
        <v>0</v>
      </c>
      <c r="R136" s="70">
        <f t="shared" si="28"/>
        <v>1</v>
      </c>
      <c r="S136" s="70">
        <f t="shared" si="28"/>
        <v>1</v>
      </c>
      <c r="T136" s="70">
        <f t="shared" si="28"/>
        <v>1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1.0557562500000002</v>
      </c>
      <c r="S137" s="56">
        <f>(S136=1)*(1+Inputs!$J$11)^(SUM(S136:$Z136)-1)</f>
        <v>1.0275000000000001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PMT(Inputs!$J$11,Inputs!$J$12,-SUMPRODUCT('Scenario C'!O135:Z135,'Scenario C'!O137:Z137),0,0)</f>
        <v>159236.32012511557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5585.3755752212401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164821.6957003368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169405.35695972241</v>
      </c>
      <c r="P147" s="70">
        <f t="shared" ref="P147:Z147" si="30">P128</f>
        <v>192449.50962639751</v>
      </c>
      <c r="Q147" s="70">
        <f t="shared" si="30"/>
        <v>205088.0396416435</v>
      </c>
      <c r="R147" s="70">
        <f t="shared" si="30"/>
        <v>219361.71019609494</v>
      </c>
      <c r="S147" s="70">
        <f t="shared" si="30"/>
        <v>237519.74232643258</v>
      </c>
      <c r="T147" s="70">
        <f t="shared" si="30"/>
        <v>259100.36519419291</v>
      </c>
      <c r="U147" s="70">
        <f t="shared" si="30"/>
        <v>290346.52522502025</v>
      </c>
      <c r="V147" s="70">
        <f t="shared" si="30"/>
        <v>310602.76928500849</v>
      </c>
      <c r="W147" s="70">
        <f t="shared" si="30"/>
        <v>332437.96687036473</v>
      </c>
      <c r="X147" s="70">
        <f t="shared" si="30"/>
        <v>355979.24425920437</v>
      </c>
      <c r="Y147" s="70">
        <f t="shared" si="30"/>
        <v>381364.16663773317</v>
      </c>
      <c r="Z147" s="70">
        <f t="shared" si="30"/>
        <v>408628.49797668715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164821.6957003368</v>
      </c>
      <c r="P148" s="70">
        <f t="shared" ref="P148:Z148" si="31">$J$140</f>
        <v>164821.6957003368</v>
      </c>
      <c r="Q148" s="70">
        <f t="shared" si="31"/>
        <v>164821.6957003368</v>
      </c>
      <c r="R148" s="70">
        <f t="shared" si="31"/>
        <v>164821.6957003368</v>
      </c>
      <c r="S148" s="70">
        <f t="shared" si="31"/>
        <v>164821.6957003368</v>
      </c>
      <c r="T148" s="70">
        <f t="shared" si="31"/>
        <v>164821.6957003368</v>
      </c>
      <c r="U148" s="70">
        <f t="shared" si="31"/>
        <v>164821.6957003368</v>
      </c>
      <c r="V148" s="70">
        <f t="shared" si="31"/>
        <v>164821.6957003368</v>
      </c>
      <c r="W148" s="70">
        <f t="shared" si="31"/>
        <v>164821.6957003368</v>
      </c>
      <c r="X148" s="70">
        <f t="shared" si="31"/>
        <v>164821.6957003368</v>
      </c>
      <c r="Y148" s="70">
        <f t="shared" si="31"/>
        <v>164821.6957003368</v>
      </c>
      <c r="Z148" s="70">
        <f t="shared" si="31"/>
        <v>164821.6957003368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2">(P147&gt;=P148)</f>
        <v>1</v>
      </c>
      <c r="Q149" s="99" t="b">
        <f t="shared" si="32"/>
        <v>1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80" zoomScaleNormal="80" workbookViewId="0">
      <pane ySplit="3" topLeftCell="A4" activePane="bottomLeft" state="frozen"/>
      <selection pane="bottomLeft"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North Richmond Transformer No.1 Replacement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D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D: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149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150</v>
      </c>
      <c r="D8" s="51"/>
      <c r="E8" s="51"/>
      <c r="F8" s="51"/>
      <c r="G8" s="51"/>
      <c r="H8" s="51"/>
      <c r="I8" s="55" t="s">
        <v>32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D'!$I$8,Inputs!$D$52:$D$57,0),MATCH('Scenario D'!$D9,Inputs!$D$52:$O$52,0))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D'!$I$8,Inputs!$D$52:$D$57,0),MATCH('Scenario D'!$D10,Inputs!$D$52:$O$52,0))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D'!$I$8,Inputs!$D$52:$D$57,0),MATCH('Scenario D'!$D11,Inputs!$D$52:$O$52,0))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D'!$I$8,Inputs!$D$52:$D$57,0),MATCH('Scenario D'!$D12,Inputs!$D$52:$O$52,0))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D'!$I$8,Inputs!$D$52:$D$57,0),MATCH('Scenario D'!$D13,Inputs!$D$52:$O$52,0))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D'!$I$8,Inputs!$D$52:$D$57,0),MATCH('Scenario D'!$D14,Inputs!$D$52:$O$52,0))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151</v>
      </c>
      <c r="K16" s="58" t="s">
        <v>152</v>
      </c>
      <c r="L16" s="58"/>
      <c r="M16" s="58"/>
      <c r="N16" s="59"/>
      <c r="O16" s="57" t="s">
        <v>153</v>
      </c>
      <c r="P16" s="58" t="s">
        <v>154</v>
      </c>
      <c r="Q16" s="58" t="s">
        <v>155</v>
      </c>
      <c r="R16" s="58" t="s">
        <v>156</v>
      </c>
      <c r="S16" s="58" t="s">
        <v>25</v>
      </c>
      <c r="T16" s="60" t="s">
        <v>157</v>
      </c>
      <c r="U16" s="57" t="s">
        <v>158</v>
      </c>
      <c r="V16" s="61" t="s">
        <v>159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D'!J17,Inputs!$D$64:$D$66,0))</f>
        <v>3</v>
      </c>
      <c r="J17" s="100" t="s">
        <v>40</v>
      </c>
      <c r="K17" s="101" t="str">
        <f>'Base Case'!K17</f>
        <v>Unserved energy</v>
      </c>
      <c r="L17" s="102"/>
      <c r="M17" s="102"/>
      <c r="N17" s="103"/>
      <c r="O17" s="63">
        <f>O107</f>
        <v>89028986.029676467</v>
      </c>
      <c r="P17" s="64">
        <v>0</v>
      </c>
      <c r="Q17" s="64">
        <v>0</v>
      </c>
      <c r="R17" s="64">
        <v>0</v>
      </c>
      <c r="S17" s="65">
        <v>0</v>
      </c>
      <c r="T17" s="115">
        <f>'Base Case'!$T17</f>
        <v>0.2</v>
      </c>
      <c r="U17" s="63">
        <f>SUM(O17:S17)*T17</f>
        <v>17805797.205935296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D'!J18,Inputs!$D$64:$D$66,0))</f>
        <v>3</v>
      </c>
      <c r="J18" s="104" t="s">
        <v>40</v>
      </c>
      <c r="K18" s="105" t="str">
        <f>'Base Case'!K18</f>
        <v>Safety consequence</v>
      </c>
      <c r="L18" s="106"/>
      <c r="M18" s="106"/>
      <c r="N18" s="107"/>
      <c r="O18" s="69">
        <v>0</v>
      </c>
      <c r="P18" s="70">
        <f>SUM(Inputs!$L$168:$L$170)*Inputs!$L$178</f>
        <v>28915.735661389357</v>
      </c>
      <c r="Q18" s="71">
        <v>0</v>
      </c>
      <c r="R18" s="71">
        <v>0</v>
      </c>
      <c r="S18" s="72">
        <v>0</v>
      </c>
      <c r="T18" s="73">
        <f>'Base Case'!$T18</f>
        <v>0.2</v>
      </c>
      <c r="U18" s="74">
        <f t="shared" ref="U18:U46" si="0">SUM(O18:S18)*T18</f>
        <v>5783.1471322778716</v>
      </c>
      <c r="V18" s="75">
        <f t="shared" ref="V18:V46" si="1">SUM(P18:S18)*T18</f>
        <v>5783.1471322778716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D'!J19,Inputs!$D$64:$D$66,0))</f>
        <v>3</v>
      </c>
      <c r="J19" s="104" t="s">
        <v>40</v>
      </c>
      <c r="K19" s="105" t="str">
        <f>'Base Case'!K19</f>
        <v>Temporary generators and associated costs</v>
      </c>
      <c r="L19" s="106"/>
      <c r="M19" s="106"/>
      <c r="N19" s="107"/>
      <c r="O19" s="69">
        <v>0</v>
      </c>
      <c r="P19" s="71">
        <v>0</v>
      </c>
      <c r="Q19" s="70">
        <f>Inputs!$M$161*$I$11</f>
        <v>35014408.444682352</v>
      </c>
      <c r="R19" s="71">
        <v>0</v>
      </c>
      <c r="S19" s="72">
        <v>0</v>
      </c>
      <c r="T19" s="73">
        <f>'Base Case'!$T19</f>
        <v>0.2</v>
      </c>
      <c r="U19" s="74">
        <f t="shared" si="0"/>
        <v>7002881.688936471</v>
      </c>
      <c r="V19" s="75">
        <f t="shared" si="1"/>
        <v>7002881.688936471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D'!J20,Inputs!$D$64:$D$66,0))</f>
        <v>3</v>
      </c>
      <c r="J20" s="104" t="s">
        <v>40</v>
      </c>
      <c r="K20" s="105" t="str">
        <f>'Base Case'!K20</f>
        <v>Cost of replacement assets</v>
      </c>
      <c r="L20" s="106"/>
      <c r="M20" s="106"/>
      <c r="N20" s="107"/>
      <c r="O20" s="69">
        <v>0</v>
      </c>
      <c r="P20" s="71">
        <v>0</v>
      </c>
      <c r="Q20" s="71">
        <v>0</v>
      </c>
      <c r="R20" s="70">
        <f>Inputs!$J$22*$J$58*$I$10</f>
        <v>10486413.111504424</v>
      </c>
      <c r="S20" s="72">
        <v>0</v>
      </c>
      <c r="T20" s="73">
        <f>'Base Case'!$T20</f>
        <v>0.2</v>
      </c>
      <c r="U20" s="74">
        <f t="shared" si="0"/>
        <v>2097282.6223008852</v>
      </c>
      <c r="V20" s="75">
        <f t="shared" si="1"/>
        <v>2097282.6223008852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D'!J21,Inputs!$D$64:$D$66,0))</f>
        <v>3</v>
      </c>
      <c r="J21" s="104" t="s">
        <v>40</v>
      </c>
      <c r="K21" s="105" t="str">
        <f>'Base Case'!K21</f>
        <v>Environmental consequence</v>
      </c>
      <c r="L21" s="106"/>
      <c r="M21" s="106"/>
      <c r="N21" s="107"/>
      <c r="O21" s="69">
        <v>0</v>
      </c>
      <c r="P21" s="71">
        <v>0</v>
      </c>
      <c r="Q21" s="71">
        <v>0</v>
      </c>
      <c r="R21" s="71">
        <v>0</v>
      </c>
      <c r="S21" s="77">
        <f>Inputs!$L$107*$I$14</f>
        <v>2829163.7097345134</v>
      </c>
      <c r="T21" s="73">
        <f>'Base Case'!$T21</f>
        <v>0.2</v>
      </c>
      <c r="U21" s="74">
        <f t="shared" si="0"/>
        <v>565832.74194690271</v>
      </c>
      <c r="V21" s="75">
        <f t="shared" si="1"/>
        <v>565832.74194690271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D'!J22,Inputs!$D$64:$D$66,0))</f>
        <v>3</v>
      </c>
      <c r="J22" s="104" t="s">
        <v>40</v>
      </c>
      <c r="K22" s="105" t="str">
        <f>'Base Case'!K22</f>
        <v>Fire brigade attendance</v>
      </c>
      <c r="L22" s="106"/>
      <c r="M22" s="106"/>
      <c r="N22" s="107"/>
      <c r="O22" s="69">
        <v>0</v>
      </c>
      <c r="P22" s="71">
        <v>0</v>
      </c>
      <c r="Q22" s="70">
        <f>Inputs!$K$97*$I$11</f>
        <v>46631.150442477883</v>
      </c>
      <c r="R22" s="71">
        <v>0</v>
      </c>
      <c r="S22" s="72">
        <v>0</v>
      </c>
      <c r="T22" s="73">
        <f>'Base Case'!$T22</f>
        <v>0.2</v>
      </c>
      <c r="U22" s="74">
        <f t="shared" si="0"/>
        <v>9326.2300884955766</v>
      </c>
      <c r="V22" s="75">
        <f t="shared" si="1"/>
        <v>9326.2300884955766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D'!J23,Inputs!$D$64:$D$66,0))</f>
        <v>3</v>
      </c>
      <c r="J23" s="104" t="s">
        <v>40</v>
      </c>
      <c r="K23" s="105" t="str">
        <f>'Base Case'!K23</f>
        <v>Disruption to adjacent residential and commercial customers</v>
      </c>
      <c r="L23" s="106"/>
      <c r="M23" s="106"/>
      <c r="N23" s="107"/>
      <c r="O23" s="69">
        <v>0</v>
      </c>
      <c r="P23" s="71">
        <v>0</v>
      </c>
      <c r="Q23" s="71">
        <v>0</v>
      </c>
      <c r="R23" s="71">
        <v>0</v>
      </c>
      <c r="S23" s="72">
        <v>0</v>
      </c>
      <c r="T23" s="73">
        <f>'Base Case'!$T23</f>
        <v>0.2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D'!J24,Inputs!$D$64:$D$66,0))</f>
        <v>3</v>
      </c>
      <c r="J24" s="104" t="s">
        <v>40</v>
      </c>
      <c r="K24" s="105" t="str">
        <f>'Base Case'!K24</f>
        <v>Coincident outage risk</v>
      </c>
      <c r="L24" s="106"/>
      <c r="M24" s="106"/>
      <c r="N24" s="107"/>
      <c r="O24" s="69">
        <v>0</v>
      </c>
      <c r="P24" s="71">
        <v>0</v>
      </c>
      <c r="Q24" s="71">
        <v>0</v>
      </c>
      <c r="R24" s="71">
        <v>0</v>
      </c>
      <c r="S24" s="72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D'!J25,Inputs!$D$64:$D$66,0))</f>
        <v>3</v>
      </c>
      <c r="J25" s="104" t="s">
        <v>40</v>
      </c>
      <c r="K25" s="105" t="str">
        <f>'Base Case'!K25</f>
        <v>[Spare]</v>
      </c>
      <c r="L25" s="106"/>
      <c r="M25" s="106"/>
      <c r="N25" s="107"/>
      <c r="O25" s="69">
        <v>0</v>
      </c>
      <c r="P25" s="71">
        <v>0</v>
      </c>
      <c r="Q25" s="71">
        <v>0</v>
      </c>
      <c r="R25" s="71">
        <v>0</v>
      </c>
      <c r="S25" s="72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D'!J26,Inputs!$D$64:$D$66,0))</f>
        <v>3</v>
      </c>
      <c r="J26" s="108" t="s">
        <v>40</v>
      </c>
      <c r="K26" s="109" t="str">
        <f>'Base Case'!K26</f>
        <v>[Spare]</v>
      </c>
      <c r="L26" s="110"/>
      <c r="M26" s="110"/>
      <c r="N26" s="111"/>
      <c r="O26" s="79">
        <v>0</v>
      </c>
      <c r="P26" s="80">
        <v>0</v>
      </c>
      <c r="Q26" s="80">
        <v>0</v>
      </c>
      <c r="R26" s="80">
        <v>0</v>
      </c>
      <c r="S26" s="81">
        <v>0</v>
      </c>
      <c r="T26" s="116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D'!J27,Inputs!$D$64:$D$66,0))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O104</f>
        <v>0</v>
      </c>
      <c r="P27" s="64">
        <v>0</v>
      </c>
      <c r="Q27" s="64">
        <v>0</v>
      </c>
      <c r="R27" s="64">
        <v>0</v>
      </c>
      <c r="S27" s="65">
        <v>0</v>
      </c>
      <c r="T27" s="115">
        <f>'Base Case'!$T27</f>
        <v>0.76</v>
      </c>
      <c r="U27" s="63">
        <f t="shared" si="0"/>
        <v>0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D'!J28,Inputs!$D$64:$D$66,0))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28915.735661389357</v>
      </c>
      <c r="Q28" s="71">
        <v>0</v>
      </c>
      <c r="R28" s="71">
        <v>0</v>
      </c>
      <c r="S28" s="72">
        <v>0</v>
      </c>
      <c r="T28" s="73">
        <f>'Base Case'!$T28</f>
        <v>0.8</v>
      </c>
      <c r="U28" s="74">
        <f t="shared" si="0"/>
        <v>23132.588529111486</v>
      </c>
      <c r="V28" s="75">
        <f t="shared" si="1"/>
        <v>23132.588529111486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D'!J29,Inputs!$D$64:$D$66,0))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0.8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D'!J30,Inputs!$D$64:$D$66,0))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3495471.0371681419</v>
      </c>
      <c r="S30" s="72">
        <v>0</v>
      </c>
      <c r="T30" s="73">
        <f>'Base Case'!$T30</f>
        <v>0.8</v>
      </c>
      <c r="U30" s="74">
        <f t="shared" si="0"/>
        <v>2796376.8297345135</v>
      </c>
      <c r="V30" s="75">
        <f t="shared" si="1"/>
        <v>2796376.8297345135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D'!J31,Inputs!$D$64:$D$66,0))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953161.44000000018</v>
      </c>
      <c r="T31" s="73">
        <f>'Base Case'!$T31</f>
        <v>0.8</v>
      </c>
      <c r="U31" s="74">
        <f t="shared" si="0"/>
        <v>762529.15200000023</v>
      </c>
      <c r="V31" s="75">
        <f t="shared" si="1"/>
        <v>762529.15200000023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D'!J32,Inputs!$D$64:$D$66,0))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0.8</v>
      </c>
      <c r="U32" s="74">
        <f t="shared" si="0"/>
        <v>37304.920353982307</v>
      </c>
      <c r="V32" s="75">
        <f t="shared" si="1"/>
        <v>37304.920353982307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D'!J33,Inputs!$D$64:$D$66,0))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0.8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D'!J34,Inputs!$D$64:$D$66,0))</f>
        <v>2</v>
      </c>
      <c r="J34" s="104" t="s">
        <v>39</v>
      </c>
      <c r="K34" s="105" t="str">
        <f>'Base Case'!K34</f>
        <v>Coincident outage risk</v>
      </c>
      <c r="L34" s="106"/>
      <c r="M34" s="106"/>
      <c r="N34" s="107"/>
      <c r="O34" s="74">
        <f>O105</f>
        <v>19957444.608514745</v>
      </c>
      <c r="P34" s="71">
        <v>0</v>
      </c>
      <c r="Q34" s="70">
        <f>Inputs!$L$161*$I$11</f>
        <v>6649434.7797539206</v>
      </c>
      <c r="R34" s="71">
        <v>0</v>
      </c>
      <c r="S34" s="72">
        <v>0</v>
      </c>
      <c r="T34" s="73">
        <f>'Base Case'!$T34</f>
        <v>0.04</v>
      </c>
      <c r="U34" s="74">
        <f t="shared" si="0"/>
        <v>1064275.1755307466</v>
      </c>
      <c r="V34" s="75">
        <f t="shared" si="1"/>
        <v>265977.39119015681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D'!J35,Inputs!$D$64:$D$66,0))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D'!J36,Inputs!$D$64:$D$66,0))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16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D'!J37,Inputs!$D$64:$D$66,0))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0</v>
      </c>
      <c r="P37" s="64">
        <v>0</v>
      </c>
      <c r="Q37" s="64">
        <v>0</v>
      </c>
      <c r="R37" s="64">
        <v>0</v>
      </c>
      <c r="S37" s="65">
        <v>0</v>
      </c>
      <c r="T37" s="115">
        <f>'Base Case'!$T37</f>
        <v>0.96</v>
      </c>
      <c r="U37" s="63">
        <f t="shared" si="0"/>
        <v>0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D'!J38,Inputs!$D$64:$D$66,0))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8261.6387603969597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8261.6387603969597</v>
      </c>
      <c r="V38" s="75">
        <f t="shared" si="1"/>
        <v>8261.6387603969597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D'!J39,Inputs!$D$64:$D$66,0))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D'!J40,Inputs!$D$64:$D$66,0))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10725.164601769911</v>
      </c>
      <c r="S40" s="72">
        <v>0</v>
      </c>
      <c r="T40" s="73">
        <f>'Base Case'!$T40</f>
        <v>1</v>
      </c>
      <c r="U40" s="74">
        <f t="shared" si="0"/>
        <v>10725.164601769911</v>
      </c>
      <c r="V40" s="75">
        <f t="shared" si="1"/>
        <v>10725.164601769911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D'!J41,Inputs!$D$64:$D$66,0))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69874.188318584071</v>
      </c>
      <c r="T41" s="73">
        <f>'Base Case'!$T41</f>
        <v>1</v>
      </c>
      <c r="U41" s="74">
        <f t="shared" si="0"/>
        <v>69874.188318584071</v>
      </c>
      <c r="V41" s="75">
        <f t="shared" si="1"/>
        <v>69874.188318584071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D'!J42,Inputs!$D$64:$D$66,0))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D'!J43,Inputs!$D$64:$D$66,0))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D'!J44,Inputs!$D$64:$D$66,0))</f>
        <v>1</v>
      </c>
      <c r="J44" s="104" t="s">
        <v>38</v>
      </c>
      <c r="K44" s="105" t="str">
        <f>'Base Case'!K44</f>
        <v>Coincident outage risk</v>
      </c>
      <c r="L44" s="106"/>
      <c r="M44" s="106"/>
      <c r="N44" s="107"/>
      <c r="O44" s="74">
        <f>O105</f>
        <v>19957444.608514745</v>
      </c>
      <c r="P44" s="71">
        <v>0</v>
      </c>
      <c r="Q44" s="70">
        <f>SUM(Inputs!$J$161,Inputs!$L$161*(Inputs!$J$128/Inputs!$L$128))*$I$11</f>
        <v>1319332.2975702223</v>
      </c>
      <c r="R44" s="71">
        <v>0</v>
      </c>
      <c r="S44" s="72">
        <v>0</v>
      </c>
      <c r="T44" s="73">
        <f>'Base Case'!$T44</f>
        <v>0.04</v>
      </c>
      <c r="U44" s="74">
        <f t="shared" si="0"/>
        <v>851071.07624339871</v>
      </c>
      <c r="V44" s="75">
        <f t="shared" si="1"/>
        <v>52773.291902808895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D'!J45,Inputs!$D$64:$D$66,0))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D'!J46,Inputs!$D$64:$D$66,0))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16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D'!J49,Inputs!$D$64:$D$66,0))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19957444.608514745</v>
      </c>
      <c r="P49" s="70">
        <f t="shared" ref="P49:V49" si="2">SUMIF($I$17:$I$46,$I49,P$17:P$46)</f>
        <v>8261.6387603969597</v>
      </c>
      <c r="Q49" s="70">
        <f t="shared" si="2"/>
        <v>1365963.4480127001</v>
      </c>
      <c r="R49" s="70">
        <f t="shared" si="2"/>
        <v>10725.164601769911</v>
      </c>
      <c r="S49" s="70">
        <f t="shared" si="2"/>
        <v>69874.188318584071</v>
      </c>
      <c r="T49" s="56">
        <f>U49/SUM(O49:S49)</f>
        <v>4.6074669440471304E-2</v>
      </c>
      <c r="U49" s="70">
        <f t="shared" si="2"/>
        <v>986563.21836662758</v>
      </c>
      <c r="V49" s="70">
        <f t="shared" si="2"/>
        <v>188265.43402603769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D'!J50,Inputs!$D$64:$D$66,0))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19957444.608514745</v>
      </c>
      <c r="P50" s="70">
        <f t="shared" si="3"/>
        <v>28915.735661389357</v>
      </c>
      <c r="Q50" s="70">
        <f t="shared" si="3"/>
        <v>6696065.9301963989</v>
      </c>
      <c r="R50" s="70">
        <f t="shared" si="3"/>
        <v>3495471.0371681419</v>
      </c>
      <c r="S50" s="70">
        <f t="shared" si="3"/>
        <v>953161.44000000018</v>
      </c>
      <c r="T50" s="56">
        <f t="shared" ref="T50:T51" si="4">U50/SUM(O50:S50)</f>
        <v>0.15044842205749143</v>
      </c>
      <c r="U50" s="70">
        <f t="shared" si="3"/>
        <v>4683618.6661483534</v>
      </c>
      <c r="V50" s="70">
        <f t="shared" si="3"/>
        <v>3885320.8818077641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D'!J51,Inputs!$D$64:$D$66,0))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89028986.029676467</v>
      </c>
      <c r="P51" s="70">
        <f t="shared" si="3"/>
        <v>28915.735661389357</v>
      </c>
      <c r="Q51" s="70">
        <f t="shared" si="3"/>
        <v>35061039.595124833</v>
      </c>
      <c r="R51" s="70">
        <f t="shared" si="3"/>
        <v>10486413.111504424</v>
      </c>
      <c r="S51" s="70">
        <f t="shared" si="3"/>
        <v>2829163.7097345134</v>
      </c>
      <c r="T51" s="56">
        <f t="shared" si="4"/>
        <v>0.2</v>
      </c>
      <c r="U51" s="70">
        <f t="shared" si="3"/>
        <v>27486903.636340328</v>
      </c>
      <c r="V51" s="70">
        <f t="shared" si="3"/>
        <v>9681106.43040503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33157085.520855308</v>
      </c>
      <c r="V52" s="88">
        <f>SUM(V49:V51)</f>
        <v>13754692.746238831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D: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3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97.1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65.2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32.200000000000003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53.128949999999996</v>
      </c>
      <c r="P69" s="70">
        <f>Inputs!P185*$I$12</f>
        <v>54.928650000000005</v>
      </c>
      <c r="Q69" s="70">
        <f>Inputs!Q185*$I$12</f>
        <v>54.845700000000001</v>
      </c>
      <c r="R69" s="70">
        <f>Inputs!R185*$I$12</f>
        <v>54.847799999999999</v>
      </c>
      <c r="S69" s="70">
        <f>Inputs!S185*$I$12</f>
        <v>55.560749999999999</v>
      </c>
      <c r="T69" s="70">
        <f>Inputs!T185*$I$12</f>
        <v>55.92615</v>
      </c>
      <c r="U69" s="70">
        <f>Inputs!U185*$I$12</f>
        <v>58.228800000000007</v>
      </c>
      <c r="V69" s="70">
        <f>Inputs!V185*$I$12</f>
        <v>58.228800000000007</v>
      </c>
      <c r="W69" s="70">
        <f>Inputs!W185*$I$12</f>
        <v>58.228800000000007</v>
      </c>
      <c r="X69" s="70">
        <f>Inputs!X185*$I$12</f>
        <v>58.228800000000007</v>
      </c>
      <c r="Y69" s="70">
        <f>Inputs!Y185*$I$12</f>
        <v>58.228800000000007</v>
      </c>
      <c r="Z69" s="70">
        <f>Inputs!Z185*$I$12</f>
        <v>58.228800000000007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48.956250000000004</v>
      </c>
      <c r="P70" s="70">
        <f>Inputs!P186*$I$12</f>
        <v>50.818950000000001</v>
      </c>
      <c r="Q70" s="70">
        <f>Inputs!Q186*$I$12</f>
        <v>50.825250000000004</v>
      </c>
      <c r="R70" s="70">
        <f>Inputs!R186*$I$12</f>
        <v>50.923950000000005</v>
      </c>
      <c r="S70" s="70">
        <f>Inputs!S186*$I$12</f>
        <v>51.20955</v>
      </c>
      <c r="T70" s="70">
        <f>Inputs!T186*$I$12</f>
        <v>51.9435</v>
      </c>
      <c r="U70" s="70">
        <f>Inputs!U186*$I$12</f>
        <v>53.033400000000007</v>
      </c>
      <c r="V70" s="70">
        <f>Inputs!V186*$I$12</f>
        <v>53.033400000000007</v>
      </c>
      <c r="W70" s="70">
        <f>Inputs!W186*$I$12</f>
        <v>53.033400000000007</v>
      </c>
      <c r="X70" s="70">
        <f>Inputs!X186*$I$12</f>
        <v>53.033400000000007</v>
      </c>
      <c r="Y70" s="70">
        <f>Inputs!Y186*$I$12</f>
        <v>53.033400000000007</v>
      </c>
      <c r="Z70" s="70">
        <f>Inputs!Z186*$I$12</f>
        <v>53.033400000000007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Weighting to 50% PoE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50.208060000000003</v>
      </c>
      <c r="P71" s="70">
        <f>Inputs!P187*$I$12</f>
        <v>52.051860000000005</v>
      </c>
      <c r="Q71" s="70">
        <f>Inputs!Q187*$I$12</f>
        <v>52.031385</v>
      </c>
      <c r="R71" s="70">
        <f>Inputs!R187*$I$12</f>
        <v>52.101105000000004</v>
      </c>
      <c r="S71" s="70">
        <f>Inputs!S187*$I$12</f>
        <v>52.514910000000008</v>
      </c>
      <c r="T71" s="70">
        <f>Inputs!T187*$I$12</f>
        <v>53.138295000000006</v>
      </c>
      <c r="U71" s="70">
        <f>Inputs!U187*$I$12</f>
        <v>54.592020000000005</v>
      </c>
      <c r="V71" s="70">
        <f>Inputs!V187*$I$12</f>
        <v>54.592020000000005</v>
      </c>
      <c r="W71" s="70">
        <f>Inputs!W187*$I$12</f>
        <v>54.592020000000005</v>
      </c>
      <c r="X71" s="70">
        <f>Inputs!X187*$I$12</f>
        <v>54.592020000000005</v>
      </c>
      <c r="Y71" s="70">
        <f>Inputs!Y187*$I$12</f>
        <v>54.592020000000005</v>
      </c>
      <c r="Z71" s="70">
        <f>Inputs!Z187*$I$12</f>
        <v>54.592020000000005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142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143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144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18.00806</v>
      </c>
      <c r="P78" s="70">
        <f t="shared" si="5"/>
        <v>19.851860000000002</v>
      </c>
      <c r="Q78" s="70">
        <f t="shared" si="5"/>
        <v>19.831384999999997</v>
      </c>
      <c r="R78" s="70">
        <f t="shared" si="5"/>
        <v>19.901105000000001</v>
      </c>
      <c r="S78" s="70">
        <f t="shared" si="5"/>
        <v>20.314910000000005</v>
      </c>
      <c r="T78" s="70">
        <f t="shared" si="5"/>
        <v>20.938295000000004</v>
      </c>
      <c r="U78" s="70">
        <f t="shared" si="5"/>
        <v>22.392020000000002</v>
      </c>
      <c r="V78" s="70">
        <f t="shared" si="5"/>
        <v>22.392020000000002</v>
      </c>
      <c r="W78" s="70">
        <f t="shared" si="5"/>
        <v>22.392020000000002</v>
      </c>
      <c r="X78" s="70">
        <f t="shared" si="5"/>
        <v>22.392020000000002</v>
      </c>
      <c r="Y78" s="70">
        <f t="shared" si="5"/>
        <v>22.392020000000002</v>
      </c>
      <c r="Z78" s="70">
        <f t="shared" si="5"/>
        <v>22.392020000000002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50.208060000000003</v>
      </c>
      <c r="P79" s="70">
        <f t="shared" si="5"/>
        <v>52.051860000000005</v>
      </c>
      <c r="Q79" s="70">
        <f t="shared" si="5"/>
        <v>52.031385</v>
      </c>
      <c r="R79" s="70">
        <f t="shared" si="5"/>
        <v>52.101105000000004</v>
      </c>
      <c r="S79" s="70">
        <f t="shared" si="5"/>
        <v>52.514910000000008</v>
      </c>
      <c r="T79" s="70">
        <f t="shared" si="5"/>
        <v>53.138295000000006</v>
      </c>
      <c r="U79" s="70">
        <f t="shared" si="5"/>
        <v>54.592020000000005</v>
      </c>
      <c r="V79" s="70">
        <f t="shared" si="5"/>
        <v>54.592020000000005</v>
      </c>
      <c r="W79" s="70">
        <f t="shared" si="5"/>
        <v>54.592020000000005</v>
      </c>
      <c r="X79" s="70">
        <f t="shared" si="5"/>
        <v>54.592020000000005</v>
      </c>
      <c r="Y79" s="70">
        <f t="shared" si="5"/>
        <v>54.592020000000005</v>
      </c>
      <c r="Z79" s="70">
        <f t="shared" si="5"/>
        <v>54.592020000000005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146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50.208060000000003</v>
      </c>
      <c r="P80" s="70">
        <f t="shared" si="5"/>
        <v>52.051860000000005</v>
      </c>
      <c r="Q80" s="70">
        <f t="shared" si="5"/>
        <v>52.031385</v>
      </c>
      <c r="R80" s="70">
        <f t="shared" si="5"/>
        <v>52.101105000000004</v>
      </c>
      <c r="S80" s="70">
        <f t="shared" si="5"/>
        <v>52.514910000000008</v>
      </c>
      <c r="T80" s="70">
        <f t="shared" si="5"/>
        <v>53.138295000000006</v>
      </c>
      <c r="U80" s="70">
        <f t="shared" si="5"/>
        <v>54.592020000000005</v>
      </c>
      <c r="V80" s="70">
        <f t="shared" si="5"/>
        <v>54.592020000000005</v>
      </c>
      <c r="W80" s="70">
        <f t="shared" si="5"/>
        <v>54.592020000000005</v>
      </c>
      <c r="X80" s="70">
        <f t="shared" si="5"/>
        <v>54.592020000000005</v>
      </c>
      <c r="Y80" s="70">
        <f t="shared" si="5"/>
        <v>54.592020000000005</v>
      </c>
      <c r="Z80" s="70">
        <f t="shared" si="5"/>
        <v>54.592020000000005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165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166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167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168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166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6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3">MAX(0,((P94-1)-1)/2)</f>
        <v>2</v>
      </c>
      <c r="Q95" s="70">
        <f t="shared" si="13"/>
        <v>2</v>
      </c>
      <c r="R95" s="70">
        <f t="shared" si="13"/>
        <v>2</v>
      </c>
      <c r="S95" s="70">
        <f t="shared" si="13"/>
        <v>2</v>
      </c>
      <c r="T95" s="70">
        <f t="shared" si="13"/>
        <v>2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4">IFERROR((P94-P95)/P94,0)*MAX(0,P94)</f>
        <v>4</v>
      </c>
      <c r="Q96" s="93">
        <f t="shared" si="14"/>
        <v>4</v>
      </c>
      <c r="R96" s="93">
        <f t="shared" si="14"/>
        <v>4</v>
      </c>
      <c r="S96" s="93">
        <f t="shared" si="14"/>
        <v>4</v>
      </c>
      <c r="T96" s="93">
        <f t="shared" si="14"/>
        <v>4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6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5">MAX(0,((P97-1)-1)/2)</f>
        <v>2</v>
      </c>
      <c r="Q98" s="70">
        <f t="shared" si="15"/>
        <v>2</v>
      </c>
      <c r="R98" s="70">
        <f t="shared" si="15"/>
        <v>2</v>
      </c>
      <c r="S98" s="70">
        <f t="shared" si="15"/>
        <v>2</v>
      </c>
      <c r="T98" s="70">
        <f t="shared" si="15"/>
        <v>2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16">IFERROR((P97-P98)/P97,0)*MAX(0,P97)</f>
        <v>4</v>
      </c>
      <c r="Q99" s="93">
        <f t="shared" si="16"/>
        <v>4</v>
      </c>
      <c r="R99" s="93">
        <f t="shared" si="16"/>
        <v>4</v>
      </c>
      <c r="S99" s="93">
        <f t="shared" si="16"/>
        <v>4</v>
      </c>
      <c r="T99" s="93">
        <f t="shared" si="16"/>
        <v>4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169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70">
        <f>O77*Inputs!$M$75*IF(Inputs!$J$126&gt;0,Inputs!$J$126,O90*Inputs!$J$123)*$I$13</f>
        <v>0</v>
      </c>
      <c r="P103" s="70">
        <f>P77*Inputs!$M$75*IF(Inputs!$J$126&gt;0,Inputs!$J$126,P90*Inputs!$J$123)*$I$13</f>
        <v>0</v>
      </c>
      <c r="Q103" s="70">
        <f>Q77*Inputs!$M$75*IF(Inputs!$J$126&gt;0,Inputs!$J$126,Q90*Inputs!$J$123)*$I$13</f>
        <v>0</v>
      </c>
      <c r="R103" s="70">
        <f>R77*Inputs!$M$75*IF(Inputs!$J$126&gt;0,Inputs!$J$126,R90*Inputs!$J$123)*$I$13</f>
        <v>0</v>
      </c>
      <c r="S103" s="70">
        <f>S77*Inputs!$M$75*IF(Inputs!$J$126&gt;0,Inputs!$J$126,S90*Inputs!$J$123)*$I$13</f>
        <v>0</v>
      </c>
      <c r="T103" s="70">
        <f>T77*Inputs!$M$75*IF(Inputs!$J$126&gt;0,Inputs!$J$126,T90*Inputs!$J$123)*$I$13</f>
        <v>0</v>
      </c>
      <c r="U103" s="70">
        <f>U77*Inputs!$M$75*IF(Inputs!$J$126&gt;0,Inputs!$J$126,U90*Inputs!$J$123)*$I$13</f>
        <v>0</v>
      </c>
      <c r="V103" s="70">
        <f>V77*Inputs!$M$75*IF(Inputs!$J$126&gt;0,Inputs!$J$126,V90*Inputs!$J$123)*$I$13</f>
        <v>0</v>
      </c>
      <c r="W103" s="70">
        <f>W77*Inputs!$M$75*IF(Inputs!$J$126&gt;0,Inputs!$J$126,W90*Inputs!$J$123)*$I$13</f>
        <v>0</v>
      </c>
      <c r="X103" s="70">
        <f>X77*Inputs!$M$75*IF(Inputs!$J$126&gt;0,Inputs!$J$126,X90*Inputs!$J$123)*$I$13</f>
        <v>0</v>
      </c>
      <c r="Y103" s="70">
        <f>Y77*Inputs!$M$75*IF(Inputs!$J$126&gt;0,Inputs!$J$126,Y90*Inputs!$J$123)*$I$13</f>
        <v>0</v>
      </c>
      <c r="Z103" s="70">
        <f>Z77*Inputs!$M$75*IF(Inputs!$J$126&gt;0,Inputs!$J$126,Z90*Inputs!$J$123)*$I$13</f>
        <v>0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19957444.608514745</v>
      </c>
      <c r="P105" s="70">
        <f>P78*Inputs!$M$75*IF(Inputs!$M$126&gt;0,Inputs!$M$126,P93*Inputs!$J$123)*$I$13</f>
        <v>22000837.198787075</v>
      </c>
      <c r="Q105" s="70">
        <f>Q78*Inputs!$M$75*IF(Inputs!$M$126&gt;0,Inputs!$M$126,Q93*Inputs!$J$123)*$I$13</f>
        <v>21978145.766264115</v>
      </c>
      <c r="R105" s="70">
        <f>R78*Inputs!$M$75*IF(Inputs!$M$126&gt;0,Inputs!$M$126,R93*Inputs!$J$123)*$I$13</f>
        <v>22055413.003162801</v>
      </c>
      <c r="S105" s="70">
        <f>S78*Inputs!$M$75*IF(Inputs!$M$126&gt;0,Inputs!$M$126,S93*Inputs!$J$123)*$I$13</f>
        <v>22514012.672767773</v>
      </c>
      <c r="T105" s="70">
        <f>T78*Inputs!$M$75*IF(Inputs!$M$126&gt;0,Inputs!$M$126,T93*Inputs!$J$123)*$I$13</f>
        <v>23204879.518351298</v>
      </c>
      <c r="U105" s="70">
        <f>U78*Inputs!$M$75*IF(Inputs!$M$126&gt;0,Inputs!$M$126,U93*Inputs!$J$123)*$I$13</f>
        <v>24815971.22748116</v>
      </c>
      <c r="V105" s="70">
        <f>V78*Inputs!$M$75*IF(Inputs!$M$126&gt;0,Inputs!$M$126,V93*Inputs!$J$123)*$I$13</f>
        <v>24815971.22748116</v>
      </c>
      <c r="W105" s="70">
        <f>W78*Inputs!$M$75*IF(Inputs!$M$126&gt;0,Inputs!$M$126,W93*Inputs!$J$123)*$I$13</f>
        <v>24815971.22748116</v>
      </c>
      <c r="X105" s="70">
        <f>X78*Inputs!$M$75*IF(Inputs!$M$126&gt;0,Inputs!$M$126,X93*Inputs!$J$123)*$I$13</f>
        <v>24815971.22748116</v>
      </c>
      <c r="Y105" s="70">
        <f>Y78*Inputs!$M$75*IF(Inputs!$M$126&gt;0,Inputs!$M$126,Y93*Inputs!$J$123)*$I$13</f>
        <v>24815971.22748116</v>
      </c>
      <c r="Z105" s="70">
        <f>Z78*Inputs!$M$75*IF(Inputs!$M$126&gt;0,Inputs!$M$126,Z93*Inputs!$J$123)*$I$13</f>
        <v>24815971.22748116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89028986.029676467</v>
      </c>
      <c r="P106" s="70">
        <f>P79*Inputs!$M$75*IF(Inputs!$M$126&gt;0,Inputs!$M$126,P96*Inputs!$J$123)*$I$13</f>
        <v>92298414.174112201</v>
      </c>
      <c r="Q106" s="70">
        <f>Q79*Inputs!$M$75*IF(Inputs!$M$126&gt;0,Inputs!$M$126,Q96*Inputs!$J$123)*$I$13</f>
        <v>92262107.882075474</v>
      </c>
      <c r="R106" s="70">
        <f>R79*Inputs!$M$75*IF(Inputs!$M$126&gt;0,Inputs!$M$126,R96*Inputs!$J$123)*$I$13</f>
        <v>92385735.461113349</v>
      </c>
      <c r="S106" s="70">
        <f>S79*Inputs!$M$75*IF(Inputs!$M$126&gt;0,Inputs!$M$126,S96*Inputs!$J$123)*$I$13</f>
        <v>93119494.932481319</v>
      </c>
      <c r="T106" s="70">
        <f>T79*Inputs!$M$75*IF(Inputs!$M$126&gt;0,Inputs!$M$126,T96*Inputs!$J$123)*$I$13</f>
        <v>94224881.885414973</v>
      </c>
      <c r="U106" s="70">
        <f>U79*Inputs!$M$75*IF(Inputs!$M$126&gt;0,Inputs!$M$126,U96*Inputs!$J$123)*$I$13</f>
        <v>96802628.620022744</v>
      </c>
      <c r="V106" s="70">
        <f>V79*Inputs!$M$75*IF(Inputs!$M$126&gt;0,Inputs!$M$126,V96*Inputs!$J$123)*$I$13</f>
        <v>96802628.620022744</v>
      </c>
      <c r="W106" s="70">
        <f>W79*Inputs!$M$75*IF(Inputs!$M$126&gt;0,Inputs!$M$126,W96*Inputs!$J$123)*$I$13</f>
        <v>96802628.620022744</v>
      </c>
      <c r="X106" s="70">
        <f>X79*Inputs!$M$75*IF(Inputs!$M$126&gt;0,Inputs!$M$126,X96*Inputs!$J$123)*$I$13</f>
        <v>96802628.620022744</v>
      </c>
      <c r="Y106" s="70">
        <f>Y79*Inputs!$M$75*IF(Inputs!$M$126&gt;0,Inputs!$M$126,Y96*Inputs!$J$123)*$I$13</f>
        <v>96802628.620022744</v>
      </c>
      <c r="Z106" s="70">
        <f>Z79*Inputs!$M$75*IF(Inputs!$M$126&gt;0,Inputs!$M$126,Z96*Inputs!$J$123)*$I$13</f>
        <v>96802628.620022744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89028986.029676467</v>
      </c>
      <c r="P107" s="70">
        <f>P80*Inputs!$M$75*IF(Inputs!$M$126&gt;0,Inputs!$M$126,P99*Inputs!$J$123)*$I$13</f>
        <v>92298414.174112201</v>
      </c>
      <c r="Q107" s="70">
        <f>Q80*Inputs!$M$75*IF(Inputs!$M$126&gt;0,Inputs!$M$126,Q99*Inputs!$J$123)*$I$13</f>
        <v>92262107.882075474</v>
      </c>
      <c r="R107" s="70">
        <f>R80*Inputs!$M$75*IF(Inputs!$M$126&gt;0,Inputs!$M$126,R99*Inputs!$J$123)*$I$13</f>
        <v>92385735.461113349</v>
      </c>
      <c r="S107" s="70">
        <f>S80*Inputs!$M$75*IF(Inputs!$M$126&gt;0,Inputs!$M$126,S99*Inputs!$J$123)*$I$13</f>
        <v>93119494.932481319</v>
      </c>
      <c r="T107" s="70">
        <f>T80*Inputs!$M$75*IF(Inputs!$M$126&gt;0,Inputs!$M$126,T99*Inputs!$J$123)*$I$13</f>
        <v>94224881.885414973</v>
      </c>
      <c r="U107" s="70">
        <f>U80*Inputs!$M$75*IF(Inputs!$M$126&gt;0,Inputs!$M$126,U99*Inputs!$J$123)*$I$13</f>
        <v>96802628.620022744</v>
      </c>
      <c r="V107" s="70">
        <f>V80*Inputs!$M$75*IF(Inputs!$M$126&gt;0,Inputs!$M$126,V99*Inputs!$J$123)*$I$13</f>
        <v>96802628.620022744</v>
      </c>
      <c r="W107" s="70">
        <f>W80*Inputs!$M$75*IF(Inputs!$M$126&gt;0,Inputs!$M$126,W99*Inputs!$J$123)*$I$13</f>
        <v>96802628.620022744</v>
      </c>
      <c r="X107" s="70">
        <f>X80*Inputs!$M$75*IF(Inputs!$M$126&gt;0,Inputs!$M$126,X99*Inputs!$J$123)*$I$13</f>
        <v>96802628.620022744</v>
      </c>
      <c r="Y107" s="70">
        <f>Y80*Inputs!$M$75*IF(Inputs!$M$126&gt;0,Inputs!$M$126,Y99*Inputs!$J$123)*$I$13</f>
        <v>96802628.620022744</v>
      </c>
      <c r="Z107" s="70">
        <f>Z80*Inputs!$M$75*IF(Inputs!$M$126&gt;0,Inputs!$M$126,Z99*Inputs!$J$123)*$I$13</f>
        <v>96802628.620022744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170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171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0.13040132781960678</v>
      </c>
      <c r="P114" s="56">
        <f>Inputs!P64*$I$9</f>
        <v>0.13964388807686892</v>
      </c>
      <c r="Q114" s="56">
        <f>Inputs!Q64*$I$9</f>
        <v>0.14959572434301749</v>
      </c>
      <c r="R114" s="56">
        <f>Inputs!R64*$I$9</f>
        <v>0.1603133894034024</v>
      </c>
      <c r="S114" s="56">
        <f>Inputs!S64*$I$9</f>
        <v>0.17185805077789132</v>
      </c>
      <c r="T114" s="56">
        <f>Inputs!T64*$I$9</f>
        <v>0.18429587284982005</v>
      </c>
      <c r="U114" s="56">
        <f>Inputs!U64*$I$9</f>
        <v>0.19769843094163356</v>
      </c>
      <c r="V114" s="56">
        <f>Inputs!V64*$I$9</f>
        <v>0.21214316002493661</v>
      </c>
      <c r="W114" s="56">
        <f>Inputs!W64*$I$9</f>
        <v>0.22771384097974767</v>
      </c>
      <c r="X114" s="56">
        <f>Inputs!X64*$I$9</f>
        <v>0.24450112756405412</v>
      </c>
      <c r="Y114" s="56">
        <f>Inputs!Y64*$I$9</f>
        <v>0.26260311752194648</v>
      </c>
      <c r="Z114" s="56">
        <f>Inputs!Z64*$I$9</f>
        <v>0.28204531414350664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7.0108240763229446E-4</v>
      </c>
      <c r="P115" s="56">
        <f>Inputs!P65*$I$9</f>
        <v>7.5077359181112315E-4</v>
      </c>
      <c r="Q115" s="56">
        <f>Inputs!Q65*$I$9</f>
        <v>8.0427808786568528E-4</v>
      </c>
      <c r="R115" s="56">
        <f>Inputs!R65*$I$9</f>
        <v>8.6189994302904511E-4</v>
      </c>
      <c r="S115" s="56">
        <f>Inputs!S65*$I$9</f>
        <v>9.2396801493489951E-4</v>
      </c>
      <c r="T115" s="56">
        <f>Inputs!T65*$I$9</f>
        <v>9.9083802607430132E-4</v>
      </c>
      <c r="U115" s="56">
        <f>Inputs!U65*$I$9</f>
        <v>1.0628947900087826E-3</v>
      </c>
      <c r="V115" s="56">
        <f>Inputs!V65*$I$9</f>
        <v>1.1405546237899817E-3</v>
      </c>
      <c r="W115" s="56">
        <f>Inputs!W65*$I$9</f>
        <v>1.2242679622567077E-3</v>
      </c>
      <c r="X115" s="56">
        <f>Inputs!X65*$I$9</f>
        <v>1.3145221912045919E-3</v>
      </c>
      <c r="Y115" s="56">
        <f>Inputs!Y65*$I$9</f>
        <v>1.4118447178599273E-3</v>
      </c>
      <c r="Z115" s="56">
        <f>Inputs!Z65*$I$9</f>
        <v>1.5163726566855195E-3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7.0108240763229446E-4</v>
      </c>
      <c r="P116" s="56">
        <f>Inputs!P66*$I$9</f>
        <v>7.5077359181112315E-4</v>
      </c>
      <c r="Q116" s="56">
        <f>Inputs!Q66*$I$9</f>
        <v>8.0427808786568528E-4</v>
      </c>
      <c r="R116" s="56">
        <f>Inputs!R66*$I$9</f>
        <v>8.6189994302904511E-4</v>
      </c>
      <c r="S116" s="56">
        <f>Inputs!S66*$I$9</f>
        <v>9.2396801493489951E-4</v>
      </c>
      <c r="T116" s="56">
        <f>Inputs!T66*$I$9</f>
        <v>9.9083802607430132E-4</v>
      </c>
      <c r="U116" s="56">
        <f>Inputs!U66*$I$9</f>
        <v>1.0628947900087826E-3</v>
      </c>
      <c r="V116" s="56">
        <f>Inputs!V66*$I$9</f>
        <v>1.1405546237899817E-3</v>
      </c>
      <c r="W116" s="56">
        <f>Inputs!W66*$I$9</f>
        <v>1.2242679622567077E-3</v>
      </c>
      <c r="X116" s="56">
        <f>Inputs!X66*$I$9</f>
        <v>1.3145221912045919E-3</v>
      </c>
      <c r="Y116" s="56">
        <f>Inputs!Y66*$I$9</f>
        <v>1.4118447178599273E-3</v>
      </c>
      <c r="Z116" s="56">
        <f>Inputs!Z66*$I$9</f>
        <v>1.5163726566855195E-3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172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0</v>
      </c>
      <c r="P119" s="70">
        <f t="shared" ref="P119:Z119" si="17">P103*P114*$T$37</f>
        <v>0</v>
      </c>
      <c r="Q119" s="70">
        <f t="shared" si="17"/>
        <v>0</v>
      </c>
      <c r="R119" s="70">
        <f t="shared" si="17"/>
        <v>0</v>
      </c>
      <c r="S119" s="70">
        <f t="shared" si="17"/>
        <v>0</v>
      </c>
      <c r="T119" s="70">
        <f t="shared" si="17"/>
        <v>0</v>
      </c>
      <c r="U119" s="70">
        <f t="shared" si="17"/>
        <v>0</v>
      </c>
      <c r="V119" s="70">
        <f t="shared" si="17"/>
        <v>0</v>
      </c>
      <c r="W119" s="70">
        <f t="shared" si="17"/>
        <v>0</v>
      </c>
      <c r="X119" s="70">
        <f t="shared" si="17"/>
        <v>0</v>
      </c>
      <c r="Y119" s="70">
        <f t="shared" si="17"/>
        <v>0</v>
      </c>
      <c r="Z119" s="70">
        <f t="shared" si="17"/>
        <v>0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70">
        <f>O104*O115*$T$27</f>
        <v>0</v>
      </c>
      <c r="P120" s="70">
        <f t="shared" ref="P120:Z120" si="20">P104*P115*$T$27</f>
        <v>0</v>
      </c>
      <c r="Q120" s="70">
        <f t="shared" si="20"/>
        <v>0</v>
      </c>
      <c r="R120" s="70">
        <f t="shared" si="20"/>
        <v>0</v>
      </c>
      <c r="S120" s="70">
        <f t="shared" si="20"/>
        <v>0</v>
      </c>
      <c r="T120" s="70">
        <f t="shared" si="20"/>
        <v>0</v>
      </c>
      <c r="U120" s="70">
        <f t="shared" si="20"/>
        <v>0</v>
      </c>
      <c r="V120" s="70">
        <f t="shared" si="20"/>
        <v>0</v>
      </c>
      <c r="W120" s="70">
        <f t="shared" si="20"/>
        <v>0</v>
      </c>
      <c r="X120" s="70">
        <f t="shared" si="20"/>
        <v>0</v>
      </c>
      <c r="Y120" s="70">
        <f t="shared" si="20"/>
        <v>0</v>
      </c>
      <c r="Z120" s="70">
        <f t="shared" si="20"/>
        <v>0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12483.331174949497</v>
      </c>
      <c r="P121" s="70">
        <f t="shared" ref="P121:Z121" si="21">P107*P116*$T$17</f>
        <v>13859.042385593779</v>
      </c>
      <c r="Q121" s="70">
        <f t="shared" si="21"/>
        <v>14840.878341970645</v>
      </c>
      <c r="R121" s="70">
        <f t="shared" si="21"/>
        <v>15925.452026126004</v>
      </c>
      <c r="S121" s="70">
        <f t="shared" si="21"/>
        <v>17207.886976901042</v>
      </c>
      <c r="T121" s="70">
        <f t="shared" si="21"/>
        <v>18672.319194885753</v>
      </c>
      <c r="U121" s="70">
        <f t="shared" si="21"/>
        <v>20578.201923875447</v>
      </c>
      <c r="V121" s="70">
        <f t="shared" si="21"/>
        <v>22081.737133518272</v>
      </c>
      <c r="W121" s="70">
        <f t="shared" si="21"/>
        <v>23702.471376345624</v>
      </c>
      <c r="X121" s="70">
        <f t="shared" si="21"/>
        <v>25449.840697591328</v>
      </c>
      <c r="Y121" s="70">
        <f t="shared" si="21"/>
        <v>27334.055978427066</v>
      </c>
      <c r="Z121" s="70">
        <f t="shared" si="21"/>
        <v>29357.771826937122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113" t="str">
        <f>J119</f>
        <v>Significant</v>
      </c>
      <c r="K122" s="51"/>
      <c r="L122" s="51"/>
      <c r="M122" s="51"/>
      <c r="N122" s="51"/>
      <c r="O122" s="88">
        <f>O105*O114*$T$44</f>
        <v>104099.091073463</v>
      </c>
      <c r="P122" s="88">
        <f t="shared" ref="P122:Z122" si="22">P105*P114*$T$44</f>
        <v>122891.29789539347</v>
      </c>
      <c r="Q122" s="88">
        <f t="shared" si="22"/>
        <v>131513.46542482814</v>
      </c>
      <c r="R122" s="88">
        <f t="shared" si="22"/>
        <v>141431.12052915612</v>
      </c>
      <c r="S122" s="88">
        <f t="shared" si="22"/>
        <v>154768.57332522451</v>
      </c>
      <c r="T122" s="88">
        <f t="shared" si="22"/>
        <v>171062.54100837858</v>
      </c>
      <c r="U122" s="88">
        <f t="shared" si="22"/>
        <v>196243.14295862999</v>
      </c>
      <c r="V122" s="88">
        <f t="shared" si="22"/>
        <v>210581.54221143035</v>
      </c>
      <c r="W122" s="88">
        <f t="shared" si="22"/>
        <v>226037.60503410557</v>
      </c>
      <c r="X122" s="88">
        <f t="shared" si="22"/>
        <v>242701.31786865072</v>
      </c>
      <c r="Y122" s="88">
        <f t="shared" si="22"/>
        <v>260670.05634685911</v>
      </c>
      <c r="Z122" s="88">
        <f t="shared" si="22"/>
        <v>279969.13602524583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70">
        <f>O105*O115*$T$34</f>
        <v>559.67253265302691</v>
      </c>
      <c r="P123" s="70">
        <f t="shared" ref="P123:Z123" si="23">P105*P115*$T$34</f>
        <v>660.70590266340571</v>
      </c>
      <c r="Q123" s="70">
        <f t="shared" si="23"/>
        <v>707.06164206896835</v>
      </c>
      <c r="R123" s="70">
        <f t="shared" si="23"/>
        <v>760.38236843632319</v>
      </c>
      <c r="S123" s="70">
        <f t="shared" si="23"/>
        <v>832.08910389905657</v>
      </c>
      <c r="T123" s="70">
        <f t="shared" si="23"/>
        <v>919.69108069020729</v>
      </c>
      <c r="U123" s="70">
        <f t="shared" si="23"/>
        <v>1055.0706610679031</v>
      </c>
      <c r="V123" s="70">
        <f t="shared" si="23"/>
        <v>1132.1588290937113</v>
      </c>
      <c r="W123" s="70">
        <f t="shared" si="23"/>
        <v>1215.2559410435781</v>
      </c>
      <c r="X123" s="70">
        <f t="shared" si="23"/>
        <v>1304.8457949927456</v>
      </c>
      <c r="Y123" s="70">
        <f t="shared" si="23"/>
        <v>1401.4519158433284</v>
      </c>
      <c r="Z123" s="70">
        <f t="shared" si="23"/>
        <v>1505.2104087378809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173</v>
      </c>
      <c r="E124" s="51"/>
      <c r="F124" s="51"/>
      <c r="G124" s="51"/>
      <c r="H124" s="51"/>
      <c r="I124" s="51"/>
      <c r="J124" s="113" t="str">
        <f>J119</f>
        <v>Significant</v>
      </c>
      <c r="K124" s="51"/>
      <c r="L124" s="51"/>
      <c r="M124" s="51"/>
      <c r="N124" s="51"/>
      <c r="O124" s="88">
        <f t="shared" ref="O124:Z124" si="24">SUMIF($J$49:$J$51,$J124,$V$49:$V$51)*O114</f>
        <v>24550.062579529895</v>
      </c>
      <c r="P124" s="88">
        <f t="shared" si="24"/>
        <v>26290.117197875159</v>
      </c>
      <c r="Q124" s="88">
        <f t="shared" si="24"/>
        <v>28163.70397187768</v>
      </c>
      <c r="R124" s="88">
        <f t="shared" si="24"/>
        <v>30181.469836216744</v>
      </c>
      <c r="S124" s="88">
        <f t="shared" si="24"/>
        <v>32354.930520568534</v>
      </c>
      <c r="T124" s="88">
        <f t="shared" si="24"/>
        <v>34696.542491278829</v>
      </c>
      <c r="U124" s="88">
        <f t="shared" si="24"/>
        <v>37219.780907493281</v>
      </c>
      <c r="V124" s="88">
        <f t="shared" si="24"/>
        <v>39939.224097749859</v>
      </c>
      <c r="W124" s="88">
        <f t="shared" si="24"/>
        <v>42870.645105788324</v>
      </c>
      <c r="X124" s="88">
        <f t="shared" si="24"/>
        <v>46031.110900702261</v>
      </c>
      <c r="Y124" s="88">
        <f t="shared" si="24"/>
        <v>49439.089896859841</v>
      </c>
      <c r="Z124" s="88">
        <f t="shared" si="24"/>
        <v>53099.383482237427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174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5">SUMIF($J$49:$J$51,$J125,$V$49:$V$51)*O115</f>
        <v>2723.9301182418167</v>
      </c>
      <c r="P125" s="70">
        <f t="shared" si="25"/>
        <v>2916.9963137735754</v>
      </c>
      <c r="Q125" s="70">
        <f t="shared" si="25"/>
        <v>3124.8784495649666</v>
      </c>
      <c r="R125" s="70">
        <f t="shared" si="25"/>
        <v>3348.7578466796713</v>
      </c>
      <c r="S125" s="70">
        <f t="shared" si="25"/>
        <v>3589.9122225490332</v>
      </c>
      <c r="T125" s="70">
        <f t="shared" si="25"/>
        <v>3849.7236731956687</v>
      </c>
      <c r="U125" s="70">
        <f t="shared" si="25"/>
        <v>4129.6873227858014</v>
      </c>
      <c r="V125" s="70">
        <f t="shared" si="25"/>
        <v>4431.420696653614</v>
      </c>
      <c r="W125" s="70">
        <f t="shared" si="25"/>
        <v>4756.6738786842261</v>
      </c>
      <c r="X125" s="70">
        <f t="shared" si="25"/>
        <v>5107.3405190868989</v>
      </c>
      <c r="Y125" s="70">
        <f t="shared" si="25"/>
        <v>5485.4697641711664</v>
      </c>
      <c r="Z125" s="70">
        <f t="shared" si="25"/>
        <v>5891.5943476225648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175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6">SUMIF($J$49:$J$51,$J126,$V$49:$V$51)*O116</f>
        <v>6787.2534047728468</v>
      </c>
      <c r="P126" s="70">
        <f t="shared" si="26"/>
        <v>7268.3190474609455</v>
      </c>
      <c r="Q126" s="70">
        <f t="shared" si="26"/>
        <v>7786.3017682703476</v>
      </c>
      <c r="R126" s="70">
        <f t="shared" si="26"/>
        <v>8344.1450808242171</v>
      </c>
      <c r="S126" s="70">
        <f t="shared" si="26"/>
        <v>8945.0326908748266</v>
      </c>
      <c r="T126" s="70">
        <f t="shared" si="26"/>
        <v>9592.4083857177447</v>
      </c>
      <c r="U126" s="70">
        <f t="shared" si="26"/>
        <v>10289.997586398029</v>
      </c>
      <c r="V126" s="70">
        <f t="shared" si="26"/>
        <v>11041.830702601381</v>
      </c>
      <c r="W126" s="70">
        <f t="shared" si="26"/>
        <v>11852.268441942275</v>
      </c>
      <c r="X126" s="70">
        <f t="shared" si="26"/>
        <v>12726.029238180885</v>
      </c>
      <c r="Y126" s="70">
        <f t="shared" si="26"/>
        <v>13668.218976807118</v>
      </c>
      <c r="Z126" s="70">
        <f t="shared" si="26"/>
        <v>14680.165077528542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176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10725.164601769911</v>
      </c>
      <c r="P127" s="70">
        <f>Inputs!$J$27*$I$11</f>
        <v>10725.164601769911</v>
      </c>
      <c r="Q127" s="70">
        <f>Inputs!$J$27*$I$11</f>
        <v>10725.164601769911</v>
      </c>
      <c r="R127" s="70">
        <f>Inputs!$J$27*$I$11</f>
        <v>10725.164601769911</v>
      </c>
      <c r="S127" s="70">
        <f>Inputs!$J$27*$I$11</f>
        <v>10725.164601769911</v>
      </c>
      <c r="T127" s="70">
        <f>Inputs!$J$27*$I$11</f>
        <v>10725.164601769911</v>
      </c>
      <c r="U127" s="70">
        <f>Inputs!$J$27*$I$11</f>
        <v>10725.164601769911</v>
      </c>
      <c r="V127" s="70">
        <f>Inputs!$J$27*$I$11</f>
        <v>10725.164601769911</v>
      </c>
      <c r="W127" s="70">
        <f>Inputs!$J$27*$I$11</f>
        <v>10725.164601769911</v>
      </c>
      <c r="X127" s="70">
        <f>Inputs!$J$27*$I$11</f>
        <v>10725.164601769911</v>
      </c>
      <c r="Y127" s="70">
        <f>Inputs!$J$27*$I$11</f>
        <v>10725.164601769911</v>
      </c>
      <c r="Z127" s="70">
        <f>Inputs!$J$27*$I$11</f>
        <v>10725.164601769911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164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161928.50548537998</v>
      </c>
      <c r="P128" s="98">
        <f t="shared" ref="P128:Z128" si="27">SUM(P119:P127)</f>
        <v>184611.64334453022</v>
      </c>
      <c r="Q128" s="98">
        <f t="shared" si="27"/>
        <v>196861.45420035068</v>
      </c>
      <c r="R128" s="98">
        <f t="shared" si="27"/>
        <v>210716.49228920898</v>
      </c>
      <c r="S128" s="98">
        <f t="shared" si="27"/>
        <v>228423.5894417869</v>
      </c>
      <c r="T128" s="98">
        <f t="shared" si="27"/>
        <v>249518.39043591669</v>
      </c>
      <c r="U128" s="98">
        <f t="shared" si="27"/>
        <v>280241.04596202041</v>
      </c>
      <c r="V128" s="98">
        <f t="shared" si="27"/>
        <v>299933.07827281713</v>
      </c>
      <c r="W128" s="98">
        <f t="shared" si="27"/>
        <v>321160.08437967958</v>
      </c>
      <c r="X128" s="98">
        <f t="shared" si="27"/>
        <v>344045.64962097479</v>
      </c>
      <c r="Y128" s="98">
        <f t="shared" si="27"/>
        <v>368723.50748073764</v>
      </c>
      <c r="Z128" s="98">
        <f t="shared" si="27"/>
        <v>395228.42577007925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177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178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179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D'!$I$10</f>
        <v>0</v>
      </c>
      <c r="P135" s="70">
        <f>Inputs!P22*'Scenario D'!$I$10</f>
        <v>0</v>
      </c>
      <c r="Q135" s="70">
        <f>Inputs!Q22*'Scenario D'!$I$10</f>
        <v>0</v>
      </c>
      <c r="R135" s="70">
        <f>Inputs!R22*'Scenario D'!$I$10</f>
        <v>46631.150442477883</v>
      </c>
      <c r="S135" s="70">
        <f>Inputs!S22*'Scenario D'!$I$10</f>
        <v>699467.25663716812</v>
      </c>
      <c r="T135" s="70">
        <f>Inputs!T22*'Scenario D'!$I$10</f>
        <v>2749372.6300884956</v>
      </c>
      <c r="U135" s="70">
        <f>Inputs!U22*'Scenario D'!$I$10</f>
        <v>0</v>
      </c>
      <c r="V135" s="70">
        <f>Inputs!V22*'Scenario D'!$I$10</f>
        <v>0</v>
      </c>
      <c r="W135" s="70">
        <f>Inputs!W22*'Scenario D'!$I$10</f>
        <v>0</v>
      </c>
      <c r="X135" s="70">
        <f>Inputs!X22*'Scenario D'!$I$10</f>
        <v>0</v>
      </c>
      <c r="Y135" s="70">
        <f>Inputs!Y22*'Scenario D'!$I$10</f>
        <v>0</v>
      </c>
      <c r="Z135" s="70">
        <f>Inputs!Z22*'Scenario D'!$I$10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180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8">(P135&lt;&gt;0)*1</f>
        <v>0</v>
      </c>
      <c r="Q136" s="70">
        <f t="shared" si="28"/>
        <v>0</v>
      </c>
      <c r="R136" s="70">
        <f t="shared" si="28"/>
        <v>1</v>
      </c>
      <c r="S136" s="70">
        <f t="shared" si="28"/>
        <v>1</v>
      </c>
      <c r="T136" s="70">
        <f t="shared" si="28"/>
        <v>1</v>
      </c>
      <c r="U136" s="70">
        <f t="shared" si="28"/>
        <v>0</v>
      </c>
      <c r="V136" s="70">
        <f t="shared" si="28"/>
        <v>0</v>
      </c>
      <c r="W136" s="70">
        <f t="shared" si="28"/>
        <v>0</v>
      </c>
      <c r="X136" s="70">
        <f t="shared" si="28"/>
        <v>0</v>
      </c>
      <c r="Y136" s="70">
        <f t="shared" si="28"/>
        <v>0</v>
      </c>
      <c r="Z136" s="70">
        <f t="shared" si="28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181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1.0557562500000002</v>
      </c>
      <c r="S137" s="56">
        <f>(S136=1)*(1+Inputs!$J$11)^(SUM(S136:$Z136)-1)</f>
        <v>1.0275000000000001</v>
      </c>
      <c r="T137" s="56">
        <f>(T136=1)*(1+Inputs!$J$11)^(SUM(T136:$Z136)-1)</f>
        <v>1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182</v>
      </c>
      <c r="E138" s="51"/>
      <c r="F138" s="51"/>
      <c r="G138" s="51"/>
      <c r="H138" s="51"/>
      <c r="I138" s="51"/>
      <c r="J138" s="70">
        <f>PMT(Inputs!$J$11,Inputs!$J$12,-SUMPRODUCT('Scenario D'!O135:Z135,'Scenario D'!O137:Z137),0,0)</f>
        <v>130284.26192054911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183</v>
      </c>
      <c r="E139" s="51"/>
      <c r="F139" s="51"/>
      <c r="G139" s="51"/>
      <c r="H139" s="51"/>
      <c r="I139" s="51"/>
      <c r="J139" s="70">
        <f>Inputs!K27*$I$11</f>
        <v>4569.8527433628324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184</v>
      </c>
      <c r="E140" s="51"/>
      <c r="F140" s="51"/>
      <c r="G140" s="51"/>
      <c r="H140" s="51"/>
      <c r="I140" s="51"/>
      <c r="J140" s="70">
        <f>SUM(J138:J139)</f>
        <v>134854.11466391193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185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186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9">O2</f>
        <v>2019</v>
      </c>
      <c r="P146" s="86">
        <f t="shared" si="29"/>
        <v>2020</v>
      </c>
      <c r="Q146" s="86">
        <f t="shared" si="29"/>
        <v>2021</v>
      </c>
      <c r="R146" s="86">
        <f t="shared" si="29"/>
        <v>2022</v>
      </c>
      <c r="S146" s="86">
        <f t="shared" si="29"/>
        <v>2023</v>
      </c>
      <c r="T146" s="86">
        <f t="shared" si="29"/>
        <v>2024</v>
      </c>
      <c r="U146" s="86">
        <f t="shared" si="29"/>
        <v>2025</v>
      </c>
      <c r="V146" s="86">
        <f t="shared" si="29"/>
        <v>2026</v>
      </c>
      <c r="W146" s="86">
        <f t="shared" si="29"/>
        <v>2027</v>
      </c>
      <c r="X146" s="86">
        <f t="shared" si="29"/>
        <v>2028</v>
      </c>
      <c r="Y146" s="86">
        <f t="shared" si="29"/>
        <v>2029</v>
      </c>
      <c r="Z146" s="86">
        <f t="shared" si="29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187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161928.50548537998</v>
      </c>
      <c r="P147" s="70">
        <f t="shared" ref="P147:Z147" si="30">P128</f>
        <v>184611.64334453022</v>
      </c>
      <c r="Q147" s="70">
        <f t="shared" si="30"/>
        <v>196861.45420035068</v>
      </c>
      <c r="R147" s="70">
        <f t="shared" si="30"/>
        <v>210716.49228920898</v>
      </c>
      <c r="S147" s="70">
        <f t="shared" si="30"/>
        <v>228423.5894417869</v>
      </c>
      <c r="T147" s="70">
        <f t="shared" si="30"/>
        <v>249518.39043591669</v>
      </c>
      <c r="U147" s="70">
        <f t="shared" si="30"/>
        <v>280241.04596202041</v>
      </c>
      <c r="V147" s="70">
        <f t="shared" si="30"/>
        <v>299933.07827281713</v>
      </c>
      <c r="W147" s="70">
        <f t="shared" si="30"/>
        <v>321160.08437967958</v>
      </c>
      <c r="X147" s="70">
        <f t="shared" si="30"/>
        <v>344045.64962097479</v>
      </c>
      <c r="Y147" s="70">
        <f t="shared" si="30"/>
        <v>368723.50748073764</v>
      </c>
      <c r="Z147" s="70">
        <f t="shared" si="30"/>
        <v>395228.42577007925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177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134854.11466391193</v>
      </c>
      <c r="P148" s="70">
        <f t="shared" ref="P148:Z148" si="31">$J$140</f>
        <v>134854.11466391193</v>
      </c>
      <c r="Q148" s="70">
        <f t="shared" si="31"/>
        <v>134854.11466391193</v>
      </c>
      <c r="R148" s="70">
        <f t="shared" si="31"/>
        <v>134854.11466391193</v>
      </c>
      <c r="S148" s="70">
        <f t="shared" si="31"/>
        <v>134854.11466391193</v>
      </c>
      <c r="T148" s="70">
        <f t="shared" si="31"/>
        <v>134854.11466391193</v>
      </c>
      <c r="U148" s="70">
        <f t="shared" si="31"/>
        <v>134854.11466391193</v>
      </c>
      <c r="V148" s="70">
        <f t="shared" si="31"/>
        <v>134854.11466391193</v>
      </c>
      <c r="W148" s="70">
        <f t="shared" si="31"/>
        <v>134854.11466391193</v>
      </c>
      <c r="X148" s="70">
        <f t="shared" si="31"/>
        <v>134854.11466391193</v>
      </c>
      <c r="Y148" s="70">
        <f t="shared" si="31"/>
        <v>134854.11466391193</v>
      </c>
      <c r="Z148" s="70">
        <f t="shared" si="31"/>
        <v>134854.11466391193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188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2">(P147&gt;=P148)</f>
        <v>1</v>
      </c>
      <c r="Q149" s="99" t="b">
        <f t="shared" si="32"/>
        <v>1</v>
      </c>
      <c r="R149" s="99" t="b">
        <f t="shared" si="32"/>
        <v>1</v>
      </c>
      <c r="S149" s="99" t="b">
        <f t="shared" si="32"/>
        <v>1</v>
      </c>
      <c r="T149" s="99" t="b">
        <f t="shared" si="32"/>
        <v>1</v>
      </c>
      <c r="U149" s="99" t="b">
        <f t="shared" si="32"/>
        <v>1</v>
      </c>
      <c r="V149" s="99" t="b">
        <f t="shared" si="32"/>
        <v>1</v>
      </c>
      <c r="W149" s="99" t="b">
        <f t="shared" si="32"/>
        <v>1</v>
      </c>
      <c r="X149" s="99" t="b">
        <f t="shared" si="32"/>
        <v>1</v>
      </c>
      <c r="Y149" s="99" t="b">
        <f t="shared" si="32"/>
        <v>1</v>
      </c>
      <c r="Z149" s="99" t="b">
        <f t="shared" si="32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148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E51"/>
  <sheetViews>
    <sheetView showGridLines="0" zoomScaleNormal="100" workbookViewId="0"/>
  </sheetViews>
  <sheetFormatPr defaultColWidth="0" defaultRowHeight="12.75" zeroHeight="1" x14ac:dyDescent="0.2"/>
  <cols>
    <col min="1" max="8" width="3.125" customWidth="1"/>
    <col min="9" max="26" width="9" customWidth="1"/>
    <col min="27" max="27" width="3.25" customWidth="1"/>
    <col min="28" max="57" width="0.75" customWidth="1"/>
    <col min="58" max="16384" width="9" hidden="1"/>
  </cols>
  <sheetData>
    <row r="1" spans="1:57" x14ac:dyDescent="0.2">
      <c r="A1" s="1" t="str">
        <f>Inputs!A1</f>
        <v>CitiPower - North Richmond Transformer No.1 Replacement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x14ac:dyDescent="0.2">
      <c r="A2" s="4" t="str">
        <f ca="1">RIGHT(CELL("filename", $A$1), LEN(CELL("filename", $A$1)) - SEARCH("]", CELL("filename", $A$1)))</f>
        <v>Summary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Inputs!O2</f>
        <v>2019</v>
      </c>
      <c r="P2" s="7">
        <f>Inputs!P2</f>
        <v>2020</v>
      </c>
      <c r="Q2" s="7">
        <f>Inputs!Q2</f>
        <v>2021</v>
      </c>
      <c r="R2" s="7">
        <f>Inputs!R2</f>
        <v>2022</v>
      </c>
      <c r="S2" s="7">
        <f>Inputs!S2</f>
        <v>2023</v>
      </c>
      <c r="T2" s="7">
        <f>Inputs!T2</f>
        <v>2024</v>
      </c>
      <c r="U2" s="7">
        <f>Inputs!U2</f>
        <v>2025</v>
      </c>
      <c r="V2" s="7">
        <f>Inputs!V2</f>
        <v>2026</v>
      </c>
      <c r="W2" s="7">
        <f>Inputs!W2</f>
        <v>2027</v>
      </c>
      <c r="X2" s="7">
        <f>Inputs!X2</f>
        <v>2028</v>
      </c>
      <c r="Y2" s="7">
        <f>Inputs!Y2</f>
        <v>2029</v>
      </c>
      <c r="Z2" s="7">
        <f>Inputs!Z2</f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x14ac:dyDescent="0.2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x14ac:dyDescent="0.2">
      <c r="A4" s="11" t="s">
        <v>185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x14ac:dyDescent="0.2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x14ac:dyDescent="0.2">
      <c r="A6" s="8"/>
      <c r="B6" s="8" t="s">
        <v>186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x14ac:dyDescent="0.2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x14ac:dyDescent="0.2">
      <c r="A8" s="8"/>
      <c r="B8" s="8"/>
      <c r="C8" s="9" t="s">
        <v>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30">
        <f t="shared" ref="O8:Z8" si="0">O2</f>
        <v>2019</v>
      </c>
      <c r="P8" s="30">
        <f t="shared" si="0"/>
        <v>2020</v>
      </c>
      <c r="Q8" s="30">
        <f t="shared" si="0"/>
        <v>2021</v>
      </c>
      <c r="R8" s="30">
        <f t="shared" si="0"/>
        <v>2022</v>
      </c>
      <c r="S8" s="30">
        <f t="shared" si="0"/>
        <v>2023</v>
      </c>
      <c r="T8" s="30">
        <f t="shared" si="0"/>
        <v>2024</v>
      </c>
      <c r="U8" s="30">
        <f t="shared" si="0"/>
        <v>2025</v>
      </c>
      <c r="V8" s="30">
        <f t="shared" si="0"/>
        <v>2026</v>
      </c>
      <c r="W8" s="30">
        <f t="shared" si="0"/>
        <v>2027</v>
      </c>
      <c r="X8" s="30">
        <f t="shared" si="0"/>
        <v>2028</v>
      </c>
      <c r="Y8" s="30">
        <f t="shared" si="0"/>
        <v>2029</v>
      </c>
      <c r="Z8" s="30">
        <f t="shared" si="0"/>
        <v>2030</v>
      </c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x14ac:dyDescent="0.2">
      <c r="A9" s="8"/>
      <c r="B9" s="8"/>
      <c r="C9" s="9"/>
      <c r="D9" s="10" t="s">
        <v>187</v>
      </c>
      <c r="E9" s="10"/>
      <c r="F9" s="10"/>
      <c r="G9" s="10"/>
      <c r="H9" s="10"/>
      <c r="I9" s="10" t="str">
        <f>"Scenario "&amp;'Base Case'!$I$8</f>
        <v>Scenario Base case</v>
      </c>
      <c r="J9" s="10"/>
      <c r="K9" s="10"/>
      <c r="L9" s="10"/>
      <c r="M9" s="10"/>
      <c r="N9" s="10"/>
      <c r="O9" s="19">
        <f>'Base Case'!O147</f>
        <v>127975.43704678721</v>
      </c>
      <c r="P9" s="19">
        <f>'Base Case'!P147</f>
        <v>146935.13574161779</v>
      </c>
      <c r="Q9" s="19">
        <f>'Base Case'!Q147</f>
        <v>156445.28082778407</v>
      </c>
      <c r="R9" s="19">
        <f>'Base Case'!R147</f>
        <v>167208.76144834951</v>
      </c>
      <c r="S9" s="19">
        <f>'Base Case'!S147</f>
        <v>180993.23154674488</v>
      </c>
      <c r="T9" s="19">
        <f>'Base Case'!T147</f>
        <v>197432.32618371531</v>
      </c>
      <c r="U9" s="19">
        <f>'Base Case'!U147</f>
        <v>221436.66980947467</v>
      </c>
      <c r="V9" s="19">
        <f>'Base Case'!V147</f>
        <v>236745.12231821156</v>
      </c>
      <c r="W9" s="19">
        <f>'Base Case'!W147</f>
        <v>253246.85305686199</v>
      </c>
      <c r="X9" s="19">
        <f>'Base Case'!X147</f>
        <v>271037.936430206</v>
      </c>
      <c r="Y9" s="19">
        <f>'Base Case'!Y147</f>
        <v>290222.33594271395</v>
      </c>
      <c r="Z9" s="19">
        <f>'Base Case'!Z147</f>
        <v>310827.07985519868</v>
      </c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x14ac:dyDescent="0.2">
      <c r="A10" s="8"/>
      <c r="B10" s="8"/>
      <c r="C10" s="9"/>
      <c r="D10" s="29" t="s">
        <v>177</v>
      </c>
      <c r="E10" s="29"/>
      <c r="F10" s="29"/>
      <c r="G10" s="29"/>
      <c r="H10" s="29"/>
      <c r="I10" s="29" t="str">
        <f>I9</f>
        <v>Scenario Base case</v>
      </c>
      <c r="J10" s="29"/>
      <c r="K10" s="29"/>
      <c r="L10" s="29"/>
      <c r="M10" s="29"/>
      <c r="N10" s="29"/>
      <c r="O10" s="19">
        <f>'Base Case'!O148</f>
        <v>149837.90518212441</v>
      </c>
      <c r="P10" s="19">
        <f>'Base Case'!P148</f>
        <v>149837.90518212441</v>
      </c>
      <c r="Q10" s="19">
        <f>'Base Case'!Q148</f>
        <v>149837.90518212441</v>
      </c>
      <c r="R10" s="19">
        <f>'Base Case'!R148</f>
        <v>149837.90518212441</v>
      </c>
      <c r="S10" s="19">
        <f>'Base Case'!S148</f>
        <v>149837.90518212441</v>
      </c>
      <c r="T10" s="19">
        <f>'Base Case'!T148</f>
        <v>149837.90518212441</v>
      </c>
      <c r="U10" s="19">
        <f>'Base Case'!U148</f>
        <v>149837.90518212441</v>
      </c>
      <c r="V10" s="19">
        <f>'Base Case'!V148</f>
        <v>149837.90518212441</v>
      </c>
      <c r="W10" s="19">
        <f>'Base Case'!W148</f>
        <v>149837.90518212441</v>
      </c>
      <c r="X10" s="19">
        <f>'Base Case'!X148</f>
        <v>149837.90518212441</v>
      </c>
      <c r="Y10" s="19">
        <f>'Base Case'!Y148</f>
        <v>149837.90518212441</v>
      </c>
      <c r="Z10" s="19">
        <f>'Base Case'!Z148</f>
        <v>149837.90518212441</v>
      </c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x14ac:dyDescent="0.2">
      <c r="A11" s="8"/>
      <c r="B11" s="8"/>
      <c r="C11" s="9"/>
      <c r="D11" s="10" t="str">
        <f>D9</f>
        <v>Risk cost</v>
      </c>
      <c r="E11" s="10"/>
      <c r="F11" s="10"/>
      <c r="G11" s="10"/>
      <c r="H11" s="10"/>
      <c r="I11" s="10" t="str">
        <f>"Scenario "&amp;'Scenario A'!$I$8</f>
        <v>Scenario A</v>
      </c>
      <c r="J11" s="10"/>
      <c r="K11" s="10"/>
      <c r="L11" s="10"/>
      <c r="M11" s="10"/>
      <c r="N11" s="10"/>
      <c r="O11" s="36">
        <f>'Scenario A'!O147</f>
        <v>101723.29307617512</v>
      </c>
      <c r="P11" s="36">
        <f>'Scenario A'!P147</f>
        <v>115214.4650958673</v>
      </c>
      <c r="Q11" s="36">
        <f>'Scenario A'!Q147</f>
        <v>122405.3524077953</v>
      </c>
      <c r="R11" s="36">
        <f>'Scenario A'!R147</f>
        <v>130548.83738104971</v>
      </c>
      <c r="S11" s="36">
        <f>'Scenario A'!S147</f>
        <v>140997.60332627941</v>
      </c>
      <c r="T11" s="36">
        <f>'Scenario A'!T147</f>
        <v>154884.23326591009</v>
      </c>
      <c r="U11" s="36">
        <f>'Scenario A'!U147</f>
        <v>173284.41905263683</v>
      </c>
      <c r="V11" s="36">
        <f>'Scenario A'!V147</f>
        <v>184987.58354832567</v>
      </c>
      <c r="W11" s="36">
        <f>'Scenario A'!W147</f>
        <v>197602.99775742166</v>
      </c>
      <c r="X11" s="36">
        <f>'Scenario A'!X147</f>
        <v>211204.10963701422</v>
      </c>
      <c r="Y11" s="36">
        <f>'Scenario A'!Y147</f>
        <v>225870.39828492</v>
      </c>
      <c r="Z11" s="36">
        <f>'Scenario A'!Z147</f>
        <v>241622.52654620091</v>
      </c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x14ac:dyDescent="0.2">
      <c r="A12" s="8"/>
      <c r="B12" s="8"/>
      <c r="C12" s="9"/>
      <c r="D12" s="29" t="str">
        <f t="shared" ref="D12:D18" si="1">D10</f>
        <v>Annualised cost</v>
      </c>
      <c r="E12" s="29"/>
      <c r="F12" s="29"/>
      <c r="G12" s="29"/>
      <c r="H12" s="29"/>
      <c r="I12" s="29" t="str">
        <f>I11</f>
        <v>Scenario A</v>
      </c>
      <c r="J12" s="29"/>
      <c r="K12" s="29"/>
      <c r="L12" s="29"/>
      <c r="M12" s="29"/>
      <c r="N12" s="29"/>
      <c r="O12" s="36">
        <f>'Scenario A'!O148</f>
        <v>164821.6957003368</v>
      </c>
      <c r="P12" s="36">
        <f>'Scenario A'!P148</f>
        <v>164821.6957003368</v>
      </c>
      <c r="Q12" s="36">
        <f>'Scenario A'!Q148</f>
        <v>164821.6957003368</v>
      </c>
      <c r="R12" s="36">
        <f>'Scenario A'!R148</f>
        <v>164821.6957003368</v>
      </c>
      <c r="S12" s="36">
        <f>'Scenario A'!S148</f>
        <v>164821.6957003368</v>
      </c>
      <c r="T12" s="36">
        <f>'Scenario A'!T148</f>
        <v>164821.6957003368</v>
      </c>
      <c r="U12" s="36">
        <f>'Scenario A'!U148</f>
        <v>164821.6957003368</v>
      </c>
      <c r="V12" s="36">
        <f>'Scenario A'!V148</f>
        <v>164821.6957003368</v>
      </c>
      <c r="W12" s="36">
        <f>'Scenario A'!W148</f>
        <v>164821.6957003368</v>
      </c>
      <c r="X12" s="36">
        <f>'Scenario A'!X148</f>
        <v>164821.6957003368</v>
      </c>
      <c r="Y12" s="36">
        <f>'Scenario A'!Y148</f>
        <v>164821.6957003368</v>
      </c>
      <c r="Z12" s="36">
        <f>'Scenario A'!Z148</f>
        <v>164821.6957003368</v>
      </c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x14ac:dyDescent="0.2">
      <c r="A13" s="8"/>
      <c r="B13" s="8"/>
      <c r="C13" s="9"/>
      <c r="D13" s="10" t="str">
        <f t="shared" si="1"/>
        <v>Risk cost</v>
      </c>
      <c r="E13" s="10"/>
      <c r="F13" s="10"/>
      <c r="G13" s="10"/>
      <c r="H13" s="10"/>
      <c r="I13" s="10" t="str">
        <f>"Scenario "&amp;'Scenario B'!$I$8</f>
        <v>Scenario B</v>
      </c>
      <c r="J13" s="10"/>
      <c r="K13" s="10"/>
      <c r="L13" s="10"/>
      <c r="M13" s="10"/>
      <c r="N13" s="10"/>
      <c r="O13" s="36">
        <f>'Scenario B'!O147</f>
        <v>95172.529158712321</v>
      </c>
      <c r="P13" s="36">
        <f>'Scenario B'!P147</f>
        <v>108368.32542679325</v>
      </c>
      <c r="Q13" s="36">
        <f>'Scenario B'!Q147</f>
        <v>115241.16979010035</v>
      </c>
      <c r="R13" s="36">
        <f>'Scenario B'!R147</f>
        <v>123042.13729150582</v>
      </c>
      <c r="S13" s="36">
        <f>'Scenario B'!S147</f>
        <v>133121.95643675033</v>
      </c>
      <c r="T13" s="36">
        <f>'Scenario B'!T147</f>
        <v>146611.09575250151</v>
      </c>
      <c r="U13" s="36">
        <f>'Scenario B'!U147</f>
        <v>164582.95967172703</v>
      </c>
      <c r="V13" s="36">
        <f>'Scenario B'!V147</f>
        <v>175824.49637262282</v>
      </c>
      <c r="W13" s="36">
        <f>'Scenario B'!W147</f>
        <v>187942.29937204206</v>
      </c>
      <c r="X13" s="36">
        <f>'Scenario B'!X147</f>
        <v>201006.91949455277</v>
      </c>
      <c r="Y13" s="36">
        <f>'Scenario B'!Y147</f>
        <v>215094.70080892285</v>
      </c>
      <c r="Z13" s="36">
        <f>'Scenario B'!Z147</f>
        <v>230225.49112052095</v>
      </c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x14ac:dyDescent="0.2">
      <c r="A14" s="8"/>
      <c r="B14" s="8"/>
      <c r="C14" s="9"/>
      <c r="D14" s="29" t="str">
        <f t="shared" si="1"/>
        <v>Annualised cost</v>
      </c>
      <c r="E14" s="29"/>
      <c r="F14" s="29"/>
      <c r="G14" s="29"/>
      <c r="H14" s="29"/>
      <c r="I14" s="29" t="str">
        <f>I13</f>
        <v>Scenario B</v>
      </c>
      <c r="J14" s="29"/>
      <c r="K14" s="29"/>
      <c r="L14" s="29"/>
      <c r="M14" s="29"/>
      <c r="N14" s="29"/>
      <c r="O14" s="36">
        <f>'Scenario B'!O148</f>
        <v>134854.11466391193</v>
      </c>
      <c r="P14" s="36">
        <f>'Scenario B'!P148</f>
        <v>134854.11466391193</v>
      </c>
      <c r="Q14" s="36">
        <f>'Scenario B'!Q148</f>
        <v>134854.11466391193</v>
      </c>
      <c r="R14" s="36">
        <f>'Scenario B'!R148</f>
        <v>134854.11466391193</v>
      </c>
      <c r="S14" s="36">
        <f>'Scenario B'!S148</f>
        <v>134854.11466391193</v>
      </c>
      <c r="T14" s="36">
        <f>'Scenario B'!T148</f>
        <v>134854.11466391193</v>
      </c>
      <c r="U14" s="36">
        <f>'Scenario B'!U148</f>
        <v>134854.11466391193</v>
      </c>
      <c r="V14" s="36">
        <f>'Scenario B'!V148</f>
        <v>134854.11466391193</v>
      </c>
      <c r="W14" s="36">
        <f>'Scenario B'!W148</f>
        <v>134854.11466391193</v>
      </c>
      <c r="X14" s="36">
        <f>'Scenario B'!X148</f>
        <v>134854.11466391193</v>
      </c>
      <c r="Y14" s="36">
        <f>'Scenario B'!Y148</f>
        <v>134854.11466391193</v>
      </c>
      <c r="Z14" s="36">
        <f>'Scenario B'!Z148</f>
        <v>134854.11466391193</v>
      </c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x14ac:dyDescent="0.2">
      <c r="A15" s="8"/>
      <c r="B15" s="8"/>
      <c r="C15" s="9"/>
      <c r="D15" s="10" t="str">
        <f t="shared" si="1"/>
        <v>Risk cost</v>
      </c>
      <c r="E15" s="10"/>
      <c r="F15" s="10"/>
      <c r="G15" s="10"/>
      <c r="H15" s="10"/>
      <c r="I15" s="10" t="str">
        <f>"Scenario "&amp;'Scenario C'!$I$8</f>
        <v>Scenario C</v>
      </c>
      <c r="J15" s="10"/>
      <c r="K15" s="10"/>
      <c r="L15" s="10"/>
      <c r="M15" s="10"/>
      <c r="N15" s="10"/>
      <c r="O15" s="36">
        <f>'Scenario C'!O147</f>
        <v>169405.35695972241</v>
      </c>
      <c r="P15" s="36">
        <f>'Scenario C'!P147</f>
        <v>192449.50962639751</v>
      </c>
      <c r="Q15" s="36">
        <f>'Scenario C'!Q147</f>
        <v>205088.0396416435</v>
      </c>
      <c r="R15" s="36">
        <f>'Scenario C'!R147</f>
        <v>219361.71019609494</v>
      </c>
      <c r="S15" s="36">
        <f>'Scenario C'!S147</f>
        <v>237519.74232643258</v>
      </c>
      <c r="T15" s="36">
        <f>'Scenario C'!T147</f>
        <v>259100.36519419291</v>
      </c>
      <c r="U15" s="36">
        <f>'Scenario C'!U147</f>
        <v>290346.52522502025</v>
      </c>
      <c r="V15" s="36">
        <f>'Scenario C'!V147</f>
        <v>310602.76928500849</v>
      </c>
      <c r="W15" s="36">
        <f>'Scenario C'!W147</f>
        <v>332437.96687036473</v>
      </c>
      <c r="X15" s="36">
        <f>'Scenario C'!X147</f>
        <v>355979.24425920437</v>
      </c>
      <c r="Y15" s="36">
        <f>'Scenario C'!Y147</f>
        <v>381364.16663773317</v>
      </c>
      <c r="Z15" s="36">
        <f>'Scenario C'!Z147</f>
        <v>408628.49797668715</v>
      </c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x14ac:dyDescent="0.2">
      <c r="A16" s="8"/>
      <c r="B16" s="8"/>
      <c r="C16" s="9"/>
      <c r="D16" s="29" t="str">
        <f t="shared" si="1"/>
        <v>Annualised cost</v>
      </c>
      <c r="E16" s="29"/>
      <c r="F16" s="29"/>
      <c r="G16" s="29"/>
      <c r="H16" s="29"/>
      <c r="I16" s="29" t="str">
        <f>I15</f>
        <v>Scenario C</v>
      </c>
      <c r="J16" s="29"/>
      <c r="K16" s="29"/>
      <c r="L16" s="29"/>
      <c r="M16" s="29"/>
      <c r="N16" s="29"/>
      <c r="O16" s="36">
        <f>'Scenario C'!O148</f>
        <v>164821.6957003368</v>
      </c>
      <c r="P16" s="36">
        <f>'Scenario C'!P148</f>
        <v>164821.6957003368</v>
      </c>
      <c r="Q16" s="36">
        <f>'Scenario C'!Q148</f>
        <v>164821.6957003368</v>
      </c>
      <c r="R16" s="36">
        <f>'Scenario C'!R148</f>
        <v>164821.6957003368</v>
      </c>
      <c r="S16" s="36">
        <f>'Scenario C'!S148</f>
        <v>164821.6957003368</v>
      </c>
      <c r="T16" s="36">
        <f>'Scenario C'!T148</f>
        <v>164821.6957003368</v>
      </c>
      <c r="U16" s="36">
        <f>'Scenario C'!U148</f>
        <v>164821.6957003368</v>
      </c>
      <c r="V16" s="36">
        <f>'Scenario C'!V148</f>
        <v>164821.6957003368</v>
      </c>
      <c r="W16" s="36">
        <f>'Scenario C'!W148</f>
        <v>164821.6957003368</v>
      </c>
      <c r="X16" s="36">
        <f>'Scenario C'!X148</f>
        <v>164821.6957003368</v>
      </c>
      <c r="Y16" s="36">
        <f>'Scenario C'!Y148</f>
        <v>164821.6957003368</v>
      </c>
      <c r="Z16" s="36">
        <f>'Scenario C'!Z148</f>
        <v>164821.6957003368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x14ac:dyDescent="0.2">
      <c r="A17" s="8"/>
      <c r="B17" s="8"/>
      <c r="C17" s="9"/>
      <c r="D17" s="10" t="str">
        <f t="shared" si="1"/>
        <v>Risk cost</v>
      </c>
      <c r="E17" s="10"/>
      <c r="F17" s="10"/>
      <c r="G17" s="10"/>
      <c r="H17" s="10"/>
      <c r="I17" s="10" t="str">
        <f>"Scenario "&amp;'Scenario D'!$I$8</f>
        <v>Scenario D</v>
      </c>
      <c r="J17" s="10"/>
      <c r="K17" s="10"/>
      <c r="L17" s="10"/>
      <c r="M17" s="10"/>
      <c r="N17" s="10"/>
      <c r="O17" s="36">
        <f>'Scenario D'!O147</f>
        <v>161928.50548537998</v>
      </c>
      <c r="P17" s="36">
        <f>'Scenario D'!P147</f>
        <v>184611.64334453022</v>
      </c>
      <c r="Q17" s="36">
        <f>'Scenario D'!Q147</f>
        <v>196861.45420035068</v>
      </c>
      <c r="R17" s="36">
        <f>'Scenario D'!R147</f>
        <v>210716.49228920898</v>
      </c>
      <c r="S17" s="36">
        <f>'Scenario D'!S147</f>
        <v>228423.5894417869</v>
      </c>
      <c r="T17" s="36">
        <f>'Scenario D'!T147</f>
        <v>249518.39043591669</v>
      </c>
      <c r="U17" s="36">
        <f>'Scenario D'!U147</f>
        <v>280241.04596202041</v>
      </c>
      <c r="V17" s="36">
        <f>'Scenario D'!V147</f>
        <v>299933.07827281713</v>
      </c>
      <c r="W17" s="36">
        <f>'Scenario D'!W147</f>
        <v>321160.08437967958</v>
      </c>
      <c r="X17" s="36">
        <f>'Scenario D'!X147</f>
        <v>344045.64962097479</v>
      </c>
      <c r="Y17" s="36">
        <f>'Scenario D'!Y147</f>
        <v>368723.50748073764</v>
      </c>
      <c r="Z17" s="36">
        <f>'Scenario D'!Z147</f>
        <v>395228.42577007925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x14ac:dyDescent="0.2">
      <c r="A18" s="8"/>
      <c r="B18" s="8"/>
      <c r="C18" s="9"/>
      <c r="D18" s="29" t="str">
        <f t="shared" si="1"/>
        <v>Annualised cost</v>
      </c>
      <c r="E18" s="29"/>
      <c r="F18" s="29"/>
      <c r="G18" s="29"/>
      <c r="H18" s="29"/>
      <c r="I18" s="29" t="str">
        <f>I17</f>
        <v>Scenario D</v>
      </c>
      <c r="J18" s="29"/>
      <c r="K18" s="29"/>
      <c r="L18" s="29"/>
      <c r="M18" s="29"/>
      <c r="N18" s="29"/>
      <c r="O18" s="36">
        <f>'Scenario D'!O148</f>
        <v>134854.11466391193</v>
      </c>
      <c r="P18" s="36">
        <f>'Scenario D'!P148</f>
        <v>134854.11466391193</v>
      </c>
      <c r="Q18" s="36">
        <f>'Scenario D'!Q148</f>
        <v>134854.11466391193</v>
      </c>
      <c r="R18" s="36">
        <f>'Scenario D'!R148</f>
        <v>134854.11466391193</v>
      </c>
      <c r="S18" s="36">
        <f>'Scenario D'!S148</f>
        <v>134854.11466391193</v>
      </c>
      <c r="T18" s="36">
        <f>'Scenario D'!T148</f>
        <v>134854.11466391193</v>
      </c>
      <c r="U18" s="36">
        <f>'Scenario D'!U148</f>
        <v>134854.11466391193</v>
      </c>
      <c r="V18" s="36">
        <f>'Scenario D'!V148</f>
        <v>134854.11466391193</v>
      </c>
      <c r="W18" s="36">
        <f>'Scenario D'!W148</f>
        <v>134854.11466391193</v>
      </c>
      <c r="X18" s="36">
        <f>'Scenario D'!X148</f>
        <v>134854.11466391193</v>
      </c>
      <c r="Y18" s="36">
        <f>'Scenario D'!Y148</f>
        <v>134854.11466391193</v>
      </c>
      <c r="Z18" s="36">
        <f>'Scenario D'!Z148</f>
        <v>134854.11466391193</v>
      </c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x14ac:dyDescent="0.2">
      <c r="A19" s="8"/>
      <c r="B19" s="8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x14ac:dyDescent="0.2">
      <c r="A20" s="8"/>
      <c r="B20" s="8" t="s">
        <v>189</v>
      </c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x14ac:dyDescent="0.2">
      <c r="A21" s="8"/>
      <c r="B21" s="8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x14ac:dyDescent="0.2">
      <c r="A22" s="8"/>
      <c r="B22" s="8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x14ac:dyDescent="0.2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x14ac:dyDescent="0.2">
      <c r="A24" s="8"/>
      <c r="B24" s="8"/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x14ac:dyDescent="0.2">
      <c r="A25" s="8"/>
      <c r="B25" s="8"/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x14ac:dyDescent="0.2">
      <c r="A26" s="8"/>
      <c r="B26" s="8"/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x14ac:dyDescent="0.2">
      <c r="A27" s="8"/>
      <c r="B27" s="8"/>
      <c r="C27" s="9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x14ac:dyDescent="0.2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x14ac:dyDescent="0.2">
      <c r="A29" s="8"/>
      <c r="B29" s="8"/>
      <c r="C29" s="9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</row>
    <row r="30" spans="1:57" x14ac:dyDescent="0.2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x14ac:dyDescent="0.2">
      <c r="A31" s="8"/>
      <c r="B31" s="8"/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x14ac:dyDescent="0.2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x14ac:dyDescent="0.2">
      <c r="A33" s="8"/>
      <c r="B33" s="8"/>
      <c r="C33" s="9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x14ac:dyDescent="0.2">
      <c r="A34" s="8"/>
      <c r="B34" s="8"/>
      <c r="C34" s="9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x14ac:dyDescent="0.2">
      <c r="A35" s="8"/>
      <c r="B35" s="8"/>
      <c r="C35" s="9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x14ac:dyDescent="0.2">
      <c r="A36" s="8"/>
      <c r="B36" s="8"/>
      <c r="C36" s="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x14ac:dyDescent="0.2">
      <c r="A37" s="8"/>
      <c r="B37" s="8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x14ac:dyDescent="0.2">
      <c r="A38" s="8"/>
      <c r="B38" s="8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x14ac:dyDescent="0.2">
      <c r="A39" s="8"/>
      <c r="B39" s="8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x14ac:dyDescent="0.2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x14ac:dyDescent="0.2">
      <c r="A41" s="8"/>
      <c r="B41" s="8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x14ac:dyDescent="0.2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x14ac:dyDescent="0.2">
      <c r="A43" s="8"/>
      <c r="B43" s="8"/>
      <c r="C43" s="9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x14ac:dyDescent="0.2">
      <c r="A44" s="8"/>
      <c r="B44" s="8"/>
      <c r="C44" s="9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x14ac:dyDescent="0.2">
      <c r="A45" s="8"/>
      <c r="B45" s="8"/>
      <c r="C45" s="9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x14ac:dyDescent="0.2">
      <c r="A46" s="8"/>
      <c r="B46" s="8"/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x14ac:dyDescent="0.2">
      <c r="A47" s="8"/>
      <c r="B47" s="8"/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x14ac:dyDescent="0.2">
      <c r="A48" s="8"/>
      <c r="B48" s="8"/>
      <c r="C48" s="9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11" t="s">
        <v>148</v>
      </c>
      <c r="B50" s="11"/>
      <c r="C50" s="12"/>
      <c r="D50" s="13"/>
      <c r="E50" s="13"/>
      <c r="F50" s="13"/>
      <c r="G50" s="13"/>
      <c r="H50" s="13"/>
      <c r="I50" s="13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</row>
    <row r="51" spans="1:57" x14ac:dyDescent="0.2"/>
  </sheetData>
  <pageMargins left="0.7" right="0.7" top="0.75" bottom="0.75" header="0.3" footer="0.3"/>
  <pageSetup paperSize="9" orientation="portrait" r:id="rId1"/>
  <ignoredErrors>
    <ignoredError sqref="I11:I1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Inputs</vt:lpstr>
      <vt:lpstr>Base Case</vt:lpstr>
      <vt:lpstr>Scenario A</vt:lpstr>
      <vt:lpstr>Scenario B</vt:lpstr>
      <vt:lpstr>Scenario C</vt:lpstr>
      <vt:lpstr>Scenario D</vt:lpstr>
      <vt:lpstr>Summary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2019-10-23T03:50:51Z</dcterms:created>
  <dcterms:modified xsi:type="dcterms:W3CDTF">2020-01-28T06:16:59Z</dcterms:modified>
</cp:coreProperties>
</file>