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360" yWindow="315" windowWidth="20610" windowHeight="11640"/>
  </bookViews>
  <sheets>
    <sheet name="Basic model with tax adjustment" sheetId="5" r:id="rId1"/>
  </sheets>
  <calcPr calcId="145621"/>
</workbook>
</file>

<file path=xl/calcChain.xml><?xml version="1.0" encoding="utf-8"?>
<calcChain xmlns="http://schemas.openxmlformats.org/spreadsheetml/2006/main">
  <c r="F51" i="5" l="1"/>
  <c r="E50" i="5"/>
  <c r="D49" i="5"/>
  <c r="C48" i="5"/>
  <c r="B47" i="5"/>
  <c r="F50" i="5" l="1"/>
  <c r="E49" i="5"/>
  <c r="F49" i="5" s="1"/>
  <c r="D48" i="5"/>
  <c r="E48" i="5" s="1"/>
  <c r="F48" i="5" s="1"/>
  <c r="B52" i="5"/>
  <c r="F41" i="5"/>
  <c r="E40" i="5"/>
  <c r="D39" i="5"/>
  <c r="C38" i="5"/>
  <c r="B37" i="5"/>
  <c r="B42" i="5" l="1"/>
  <c r="B54" i="5" s="1"/>
  <c r="B57" i="5" s="1"/>
  <c r="B58" i="5" s="1"/>
  <c r="B59" i="5" s="1"/>
  <c r="B60" i="5" s="1"/>
  <c r="C47" i="5"/>
  <c r="D47" i="5" l="1"/>
  <c r="C52" i="5"/>
  <c r="E47" i="5" l="1"/>
  <c r="D52" i="5"/>
  <c r="E52" i="5" l="1"/>
  <c r="F47" i="5"/>
  <c r="F52" i="5" s="1"/>
  <c r="F18" i="5" l="1"/>
  <c r="E18" i="5"/>
  <c r="D18" i="5"/>
  <c r="C18" i="5"/>
  <c r="B18" i="5"/>
  <c r="F17" i="5" l="1"/>
  <c r="E17" i="5"/>
  <c r="D17" i="5"/>
  <c r="C17" i="5"/>
  <c r="B17" i="5"/>
  <c r="F10" i="5"/>
  <c r="F15" i="5" s="1"/>
  <c r="E10" i="5"/>
  <c r="F40" i="5" s="1"/>
  <c r="D10" i="5"/>
  <c r="E39" i="5" s="1"/>
  <c r="F39" i="5" s="1"/>
  <c r="C10" i="5"/>
  <c r="D38" i="5" s="1"/>
  <c r="B10" i="5"/>
  <c r="C37" i="5" s="1"/>
  <c r="E38" i="5" l="1"/>
  <c r="F38" i="5" s="1"/>
  <c r="D37" i="5"/>
  <c r="E37" i="5" s="1"/>
  <c r="F37" i="5" s="1"/>
  <c r="C42" i="5"/>
  <c r="C54" i="5" s="1"/>
  <c r="C57" i="5" s="1"/>
  <c r="C58" i="5" s="1"/>
  <c r="C59" i="5" s="1"/>
  <c r="C60" i="5" s="1"/>
  <c r="F13" i="5"/>
  <c r="E13" i="5"/>
  <c r="D13" i="5"/>
  <c r="E11" i="5"/>
  <c r="D11" i="5"/>
  <c r="C11" i="5"/>
  <c r="F11" i="5"/>
  <c r="B11" i="5"/>
  <c r="B16" i="5" s="1"/>
  <c r="B20" i="5" s="1"/>
  <c r="B19" i="5"/>
  <c r="E12" i="5"/>
  <c r="D12" i="5"/>
  <c r="C12" i="5"/>
  <c r="F12" i="5"/>
  <c r="F14" i="5"/>
  <c r="E14" i="5"/>
  <c r="E19" i="5"/>
  <c r="C19" i="5"/>
  <c r="D19" i="5"/>
  <c r="F19" i="5"/>
  <c r="E42" i="5" l="1"/>
  <c r="E54" i="5" s="1"/>
  <c r="E57" i="5" s="1"/>
  <c r="E58" i="5" s="1"/>
  <c r="E59" i="5" s="1"/>
  <c r="E60" i="5" s="1"/>
  <c r="D42" i="5"/>
  <c r="D54" i="5" s="1"/>
  <c r="D57" i="5" s="1"/>
  <c r="D58" i="5" s="1"/>
  <c r="D59" i="5" s="1"/>
  <c r="D60" i="5" s="1"/>
  <c r="B23" i="5"/>
  <c r="F42" i="5" l="1"/>
  <c r="F54" i="5" s="1"/>
  <c r="F57" i="5" s="1"/>
  <c r="F58" i="5" s="1"/>
  <c r="F59" i="5" s="1"/>
  <c r="F60" i="5" s="1"/>
  <c r="B61" i="5" s="1"/>
  <c r="B62" i="5" s="1"/>
  <c r="B24" i="5"/>
  <c r="B25" i="5" s="1"/>
  <c r="F16" i="5"/>
  <c r="F20" i="5" s="1"/>
  <c r="E16" i="5"/>
  <c r="E20" i="5" s="1"/>
  <c r="D16" i="5"/>
  <c r="D20" i="5" s="1"/>
  <c r="B63" i="5" l="1"/>
  <c r="B26" i="5"/>
  <c r="C16" i="5" l="1"/>
  <c r="C20" i="5" l="1"/>
  <c r="B27" i="5" l="1"/>
  <c r="B28" i="5" s="1"/>
</calcChain>
</file>

<file path=xl/sharedStrings.xml><?xml version="1.0" encoding="utf-8"?>
<sst xmlns="http://schemas.openxmlformats.org/spreadsheetml/2006/main" count="55" uniqueCount="48">
  <si>
    <t>Discount rate:</t>
  </si>
  <si>
    <t>NSP share of overspend:</t>
  </si>
  <si>
    <t>NSP share of underspend:</t>
  </si>
  <si>
    <t>Year</t>
  </si>
  <si>
    <t>Capex allowance</t>
  </si>
  <si>
    <t>Actual capex</t>
  </si>
  <si>
    <t>Underspend</t>
  </si>
  <si>
    <t>Year 1 benefit</t>
  </si>
  <si>
    <t>Year 2 benefit</t>
  </si>
  <si>
    <t>Year 3 benefit</t>
  </si>
  <si>
    <t>Year 4 benefit</t>
  </si>
  <si>
    <t>Year 5 benefit</t>
  </si>
  <si>
    <t>Total financing benefit</t>
  </si>
  <si>
    <t>NPV underspend</t>
  </si>
  <si>
    <t>NPV financing benefit</t>
  </si>
  <si>
    <t>Total underspend (NPV)</t>
  </si>
  <si>
    <t>Relevant sharing ratio</t>
  </si>
  <si>
    <t>Customer share</t>
  </si>
  <si>
    <t>NSP share</t>
  </si>
  <si>
    <t>CESS calculation</t>
  </si>
  <si>
    <t>Capital expenditure sharing scheme</t>
  </si>
  <si>
    <t>Notes</t>
  </si>
  <si>
    <t>* Capex is assumed to occur mid-year. Hence, a mid-year discount rate is required for capex allowance, actual capex and underspend.</t>
  </si>
  <si>
    <t>Discount factor (middle of year)*</t>
  </si>
  <si>
    <t>Discount factor (end of year)**</t>
  </si>
  <si>
    <t>** The financing benefit is calculated on an end of year basis. Hence, an end of year discount rate is required.</t>
  </si>
  <si>
    <t>CESS payment in next period</t>
  </si>
  <si>
    <t>Incremental tax depreciation</t>
  </si>
  <si>
    <t>Total</t>
  </si>
  <si>
    <t>Year 1</t>
  </si>
  <si>
    <t>Year 2</t>
  </si>
  <si>
    <t>Year 3</t>
  </si>
  <si>
    <t>Year 4</t>
  </si>
  <si>
    <t>Year 5</t>
  </si>
  <si>
    <t>Incremental tax interest deduction</t>
  </si>
  <si>
    <t>Interest rate</t>
  </si>
  <si>
    <t>Total incremental tax deduction</t>
  </si>
  <si>
    <t>Total incremental tax</t>
  </si>
  <si>
    <t>Tax rate</t>
  </si>
  <si>
    <t>Value of imputation credits</t>
  </si>
  <si>
    <t>Debt proportion</t>
  </si>
  <si>
    <t>Net tax</t>
  </si>
  <si>
    <t>NPV net tax</t>
  </si>
  <si>
    <t>Total NPV net tax</t>
  </si>
  <si>
    <t>Total NSP benefit (NPV)</t>
  </si>
  <si>
    <t>Percentage</t>
  </si>
  <si>
    <t>NSP share if no tax adj</t>
  </si>
  <si>
    <t>Tax depreciation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</si>
</sst>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9" fontId="2" fillId="2" borderId="0" xfId="0" applyNumberFormat="1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9" fontId="2" fillId="0" borderId="0" xfId="0" applyNumberFormat="1" applyFon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2" fillId="0" borderId="6" xfId="0" applyFont="1" applyBorder="1"/>
    <xf numFmtId="0" fontId="2" fillId="2" borderId="7" xfId="0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1" fontId="2" fillId="0" borderId="7" xfId="0" applyNumberFormat="1" applyFont="1" applyBorder="1"/>
    <xf numFmtId="1" fontId="2" fillId="0" borderId="0" xfId="0" applyNumberFormat="1" applyFont="1" applyBorder="1"/>
    <xf numFmtId="1" fontId="2" fillId="0" borderId="8" xfId="0" applyNumberFormat="1" applyFont="1" applyBorder="1"/>
    <xf numFmtId="0" fontId="2" fillId="0" borderId="9" xfId="0" applyFont="1" applyBorder="1"/>
    <xf numFmtId="2" fontId="2" fillId="0" borderId="10" xfId="0" applyNumberFormat="1" applyFont="1" applyBorder="1"/>
    <xf numFmtId="2" fontId="2" fillId="0" borderId="11" xfId="0" applyNumberFormat="1" applyFont="1" applyBorder="1"/>
    <xf numFmtId="2" fontId="2" fillId="0" borderId="7" xfId="0" applyNumberFormat="1" applyFont="1" applyBorder="1"/>
    <xf numFmtId="2" fontId="2" fillId="0" borderId="0" xfId="0" applyNumberFormat="1" applyFont="1" applyBorder="1"/>
    <xf numFmtId="2" fontId="2" fillId="0" borderId="8" xfId="0" applyNumberFormat="1" applyFont="1" applyBorder="1"/>
    <xf numFmtId="0" fontId="2" fillId="0" borderId="12" xfId="0" applyFont="1" applyBorder="1"/>
    <xf numFmtId="2" fontId="2" fillId="0" borderId="13" xfId="0" applyNumberFormat="1" applyFont="1" applyBorder="1"/>
    <xf numFmtId="2" fontId="2" fillId="0" borderId="14" xfId="0" applyNumberFormat="1" applyFont="1" applyBorder="1"/>
    <xf numFmtId="2" fontId="2" fillId="0" borderId="15" xfId="0" applyNumberFormat="1" applyFont="1" applyBorder="1"/>
    <xf numFmtId="0" fontId="2" fillId="0" borderId="16" xfId="0" applyFont="1" applyBorder="1"/>
    <xf numFmtId="2" fontId="2" fillId="0" borderId="17" xfId="0" applyNumberFormat="1" applyFont="1" applyBorder="1"/>
    <xf numFmtId="2" fontId="2" fillId="0" borderId="1" xfId="0" applyNumberFormat="1" applyFont="1" applyBorder="1"/>
    <xf numFmtId="2" fontId="2" fillId="0" borderId="18" xfId="0" applyNumberFormat="1" applyFont="1" applyBorder="1"/>
    <xf numFmtId="2" fontId="2" fillId="0" borderId="0" xfId="0" applyNumberFormat="1" applyFont="1"/>
    <xf numFmtId="0" fontId="2" fillId="0" borderId="19" xfId="0" applyFont="1" applyBorder="1"/>
    <xf numFmtId="2" fontId="2" fillId="0" borderId="20" xfId="0" applyNumberFormat="1" applyFont="1" applyBorder="1"/>
    <xf numFmtId="9" fontId="2" fillId="0" borderId="21" xfId="0" applyNumberFormat="1" applyFont="1" applyBorder="1"/>
    <xf numFmtId="2" fontId="2" fillId="0" borderId="21" xfId="0" applyNumberFormat="1" applyFont="1" applyBorder="1"/>
    <xf numFmtId="0" fontId="3" fillId="0" borderId="16" xfId="0" applyFont="1" applyBorder="1"/>
    <xf numFmtId="2" fontId="3" fillId="0" borderId="22" xfId="0" applyNumberFormat="1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3" fillId="0" borderId="0" xfId="0" applyFont="1"/>
    <xf numFmtId="2" fontId="0" fillId="0" borderId="0" xfId="0" applyNumberFormat="1"/>
    <xf numFmtId="0" fontId="4" fillId="0" borderId="0" xfId="0" applyFont="1"/>
    <xf numFmtId="2" fontId="2" fillId="0" borderId="0" xfId="0" applyNumberFormat="1" applyFont="1" applyFill="1" applyBorder="1"/>
    <xf numFmtId="10" fontId="0" fillId="0" borderId="0" xfId="0" applyNumberFormat="1"/>
    <xf numFmtId="2" fontId="2" fillId="0" borderId="23" xfId="0" applyNumberFormat="1" applyFont="1" applyBorder="1"/>
    <xf numFmtId="0" fontId="3" fillId="0" borderId="1" xfId="0" applyFont="1" applyFill="1" applyBorder="1"/>
    <xf numFmtId="0" fontId="0" fillId="0" borderId="1" xfId="0" applyBorder="1"/>
    <xf numFmtId="9" fontId="0" fillId="0" borderId="0" xfId="0" applyNumberFormat="1"/>
    <xf numFmtId="0" fontId="0" fillId="0" borderId="14" xfId="0" applyBorder="1"/>
    <xf numFmtId="9" fontId="0" fillId="3" borderId="0" xfId="0" applyNumberFormat="1" applyFill="1"/>
    <xf numFmtId="2" fontId="0" fillId="0" borderId="14" xfId="0" applyNumberFormat="1" applyBorder="1"/>
    <xf numFmtId="2" fontId="0" fillId="3" borderId="0" xfId="0" applyNumberFormat="1" applyFill="1"/>
    <xf numFmtId="9" fontId="0" fillId="0" borderId="0" xfId="1" applyNumberFormat="1" applyFont="1"/>
    <xf numFmtId="9" fontId="0" fillId="0" borderId="0" xfId="1" applyFont="1"/>
    <xf numFmtId="0" fontId="0" fillId="0" borderId="0" xfId="0" applyAlignment="1">
      <alignment horizontal="right"/>
    </xf>
    <xf numFmtId="0" fontId="1" fillId="0" borderId="1" xfId="0" applyFont="1" applyBorder="1" applyAlignment="1" applyProtection="1">
      <alignment horizontal="left"/>
    </xf>
    <xf numFmtId="0" fontId="2" fillId="0" borderId="0" xfId="0" applyFont="1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topLeftCell="A49" workbookViewId="0">
      <selection activeCell="B10" sqref="B10"/>
    </sheetView>
  </sheetViews>
  <sheetFormatPr defaultRowHeight="15" x14ac:dyDescent="0.25"/>
  <cols>
    <col min="1" max="1" width="31.5703125" customWidth="1"/>
  </cols>
  <sheetData>
    <row r="1" spans="1:9" ht="16.5" thickBot="1" x14ac:dyDescent="0.3">
      <c r="A1" s="54" t="s">
        <v>20</v>
      </c>
      <c r="B1" s="54"/>
      <c r="C1" s="54"/>
      <c r="D1" s="54"/>
      <c r="E1" s="54"/>
      <c r="F1" s="54"/>
    </row>
    <row r="2" spans="1:9" x14ac:dyDescent="0.25">
      <c r="A2" s="1"/>
      <c r="B2" s="1"/>
      <c r="C2" s="1"/>
      <c r="D2" s="1"/>
      <c r="E2" s="1"/>
      <c r="F2" s="1"/>
    </row>
    <row r="3" spans="1:9" x14ac:dyDescent="0.25">
      <c r="A3" s="36" t="s">
        <v>0</v>
      </c>
      <c r="B3" s="2">
        <v>0.06</v>
      </c>
      <c r="C3" s="1"/>
      <c r="D3" s="1"/>
      <c r="E3" s="1"/>
      <c r="F3" s="1"/>
    </row>
    <row r="4" spans="1:9" x14ac:dyDescent="0.25">
      <c r="A4" s="36" t="s">
        <v>1</v>
      </c>
      <c r="B4" s="46">
        <v>0.3</v>
      </c>
      <c r="C4" s="1"/>
      <c r="D4" s="1"/>
      <c r="E4" s="1"/>
      <c r="F4" s="1"/>
    </row>
    <row r="5" spans="1:9" x14ac:dyDescent="0.25">
      <c r="A5" s="36" t="s">
        <v>2</v>
      </c>
      <c r="B5" s="46">
        <v>0.3</v>
      </c>
      <c r="C5" s="1"/>
      <c r="D5" s="1"/>
      <c r="E5" s="1"/>
      <c r="F5" s="1"/>
    </row>
    <row r="6" spans="1:9" ht="15.75" thickBot="1" x14ac:dyDescent="0.3">
      <c r="A6" s="1"/>
      <c r="B6" s="4"/>
      <c r="C6" s="1"/>
      <c r="D6" s="1"/>
      <c r="E6" s="1"/>
      <c r="F6" s="1"/>
    </row>
    <row r="7" spans="1:9" x14ac:dyDescent="0.25">
      <c r="A7" s="5" t="s">
        <v>3</v>
      </c>
      <c r="B7" s="6">
        <v>1</v>
      </c>
      <c r="C7" s="7">
        <v>2</v>
      </c>
      <c r="D7" s="7">
        <v>3</v>
      </c>
      <c r="E7" s="7">
        <v>4</v>
      </c>
      <c r="F7" s="8">
        <v>5</v>
      </c>
    </row>
    <row r="8" spans="1:9" x14ac:dyDescent="0.25">
      <c r="A8" s="9" t="s">
        <v>4</v>
      </c>
      <c r="B8" s="10">
        <v>100</v>
      </c>
      <c r="C8" s="3">
        <v>100</v>
      </c>
      <c r="D8" s="3">
        <v>100</v>
      </c>
      <c r="E8" s="3">
        <v>100</v>
      </c>
      <c r="F8" s="11">
        <v>100</v>
      </c>
    </row>
    <row r="9" spans="1:9" x14ac:dyDescent="0.25">
      <c r="A9" s="9" t="s">
        <v>5</v>
      </c>
      <c r="B9" s="10">
        <v>0</v>
      </c>
      <c r="C9" s="3">
        <v>100</v>
      </c>
      <c r="D9" s="3">
        <v>100</v>
      </c>
      <c r="E9" s="3">
        <v>100</v>
      </c>
      <c r="F9" s="11">
        <v>100</v>
      </c>
    </row>
    <row r="10" spans="1:9" x14ac:dyDescent="0.25">
      <c r="A10" s="9" t="s">
        <v>6</v>
      </c>
      <c r="B10" s="12">
        <f>B8-B9</f>
        <v>100</v>
      </c>
      <c r="C10" s="13">
        <f t="shared" ref="C10:F10" si="0">C8-C9</f>
        <v>0</v>
      </c>
      <c r="D10" s="13">
        <f t="shared" si="0"/>
        <v>0</v>
      </c>
      <c r="E10" s="13">
        <f t="shared" si="0"/>
        <v>0</v>
      </c>
      <c r="F10" s="14">
        <f t="shared" si="0"/>
        <v>0</v>
      </c>
    </row>
    <row r="11" spans="1:9" x14ac:dyDescent="0.25">
      <c r="A11" s="9" t="s">
        <v>7</v>
      </c>
      <c r="B11" s="18">
        <f>B$10*((1+$B$3)^(1/2)-1)</f>
        <v>2.9563014098699991</v>
      </c>
      <c r="C11" s="19">
        <f>$B$10*$B$3</f>
        <v>6</v>
      </c>
      <c r="D11" s="19">
        <f>$B$10*$B$3</f>
        <v>6</v>
      </c>
      <c r="E11" s="19">
        <f>$B$10*$B$3</f>
        <v>6</v>
      </c>
      <c r="F11" s="20">
        <f>$B$10*$B$3</f>
        <v>6</v>
      </c>
      <c r="H11" s="41"/>
      <c r="I11" s="42"/>
    </row>
    <row r="12" spans="1:9" x14ac:dyDescent="0.25">
      <c r="A12" s="9" t="s">
        <v>8</v>
      </c>
      <c r="B12" s="18"/>
      <c r="C12" s="19">
        <f>C$10*((1+$B$3)^(1/2)-1)</f>
        <v>0</v>
      </c>
      <c r="D12" s="19">
        <f>$C10*$B$3</f>
        <v>0</v>
      </c>
      <c r="E12" s="19">
        <f>$C10*$B$3</f>
        <v>0</v>
      </c>
      <c r="F12" s="20">
        <f>$C10*$B$3</f>
        <v>0</v>
      </c>
      <c r="H12" s="41"/>
      <c r="I12" s="42"/>
    </row>
    <row r="13" spans="1:9" x14ac:dyDescent="0.25">
      <c r="A13" s="9" t="s">
        <v>9</v>
      </c>
      <c r="B13" s="18"/>
      <c r="C13" s="19"/>
      <c r="D13" s="19">
        <f>D$10*((1+$B$3)^(1/2)-1)</f>
        <v>0</v>
      </c>
      <c r="E13" s="19">
        <f>$D10*$B$3</f>
        <v>0</v>
      </c>
      <c r="F13" s="20">
        <f>$D10*$B$3</f>
        <v>0</v>
      </c>
      <c r="H13" s="41"/>
      <c r="I13" s="42"/>
    </row>
    <row r="14" spans="1:9" x14ac:dyDescent="0.25">
      <c r="A14" s="9" t="s">
        <v>10</v>
      </c>
      <c r="B14" s="18"/>
      <c r="C14" s="19"/>
      <c r="D14" s="19"/>
      <c r="E14" s="19">
        <f>E$10*((1+$B$3)^(1/2)-1)</f>
        <v>0</v>
      </c>
      <c r="F14" s="20">
        <f>$E10*$B$3</f>
        <v>0</v>
      </c>
      <c r="H14" s="41"/>
      <c r="I14" s="42"/>
    </row>
    <row r="15" spans="1:9" x14ac:dyDescent="0.25">
      <c r="A15" s="37" t="s">
        <v>11</v>
      </c>
      <c r="B15" s="18"/>
      <c r="C15" s="19"/>
      <c r="D15" s="19"/>
      <c r="E15" s="19"/>
      <c r="F15" s="20">
        <f>F$10*((1+$B$3)^(1/2)-1)</f>
        <v>0</v>
      </c>
      <c r="H15" s="41"/>
      <c r="I15" s="42"/>
    </row>
    <row r="16" spans="1:9" x14ac:dyDescent="0.25">
      <c r="A16" s="15" t="s">
        <v>12</v>
      </c>
      <c r="B16" s="16">
        <f>SUM(B11:B15)</f>
        <v>2.9563014098699991</v>
      </c>
      <c r="C16" s="17">
        <f>SUM(C11:C15)</f>
        <v>6</v>
      </c>
      <c r="D16" s="17">
        <f>SUM(D11:D15)</f>
        <v>6</v>
      </c>
      <c r="E16" s="17">
        <f>SUM(E11:E15)</f>
        <v>6</v>
      </c>
      <c r="F16" s="43">
        <f>SUM(F11:F15)</f>
        <v>6</v>
      </c>
    </row>
    <row r="17" spans="1:6" x14ac:dyDescent="0.25">
      <c r="A17" s="21" t="s">
        <v>23</v>
      </c>
      <c r="B17" s="22">
        <f>1/(1+$B$3)^(B7-5.5)</f>
        <v>1.2997995841677643</v>
      </c>
      <c r="C17" s="23">
        <f>1/(1+$B$3)^(C7-5.5)</f>
        <v>1.2262260227997774</v>
      </c>
      <c r="D17" s="23">
        <f>1/(1+$B$3)^(D7-5.5)</f>
        <v>1.1568170026412996</v>
      </c>
      <c r="E17" s="23">
        <f>1/(1+$B$3)^(E7-5.5)</f>
        <v>1.0913367949446222</v>
      </c>
      <c r="F17" s="24">
        <f>1/(1+$B$3)^(F7-5.5)</f>
        <v>1.0295630140987</v>
      </c>
    </row>
    <row r="18" spans="1:6" x14ac:dyDescent="0.25">
      <c r="A18" s="21" t="s">
        <v>24</v>
      </c>
      <c r="B18" s="22">
        <f>1/(1+$B$3)^(B7-5)</f>
        <v>1.2624769600000003</v>
      </c>
      <c r="C18" s="23">
        <f>1/(1+$B$3)^(C7-5)</f>
        <v>1.1910160000000003</v>
      </c>
      <c r="D18" s="23">
        <f>1/(1+$B$3)^(D7-5)</f>
        <v>1.1236000000000002</v>
      </c>
      <c r="E18" s="23">
        <f>1/(1+$B$3)^(E7-5)</f>
        <v>1.06</v>
      </c>
      <c r="F18" s="24">
        <f>1/(1+$B$3)^(F7-5)</f>
        <v>1</v>
      </c>
    </row>
    <row r="19" spans="1:6" x14ac:dyDescent="0.25">
      <c r="A19" s="9" t="s">
        <v>13</v>
      </c>
      <c r="B19" s="18">
        <f>B10*B17</f>
        <v>129.97995841677644</v>
      </c>
      <c r="C19" s="19">
        <f>C10*C17</f>
        <v>0</v>
      </c>
      <c r="D19" s="19">
        <f>D10*D17</f>
        <v>0</v>
      </c>
      <c r="E19" s="19">
        <f>E10*E17</f>
        <v>0</v>
      </c>
      <c r="F19" s="20">
        <f>F10*F17</f>
        <v>0</v>
      </c>
    </row>
    <row r="20" spans="1:6" ht="15.75" thickBot="1" x14ac:dyDescent="0.3">
      <c r="A20" s="25" t="s">
        <v>14</v>
      </c>
      <c r="B20" s="26">
        <f>B16*B18</f>
        <v>3.7322624167763916</v>
      </c>
      <c r="C20" s="27">
        <f>C16*C18</f>
        <v>7.1460960000000018</v>
      </c>
      <c r="D20" s="27">
        <f t="shared" ref="D20:F20" si="1">D16*D18</f>
        <v>6.7416000000000009</v>
      </c>
      <c r="E20" s="27">
        <f t="shared" si="1"/>
        <v>6.36</v>
      </c>
      <c r="F20" s="28">
        <f t="shared" si="1"/>
        <v>6</v>
      </c>
    </row>
    <row r="21" spans="1:6" x14ac:dyDescent="0.25">
      <c r="A21" s="37"/>
      <c r="B21" s="19"/>
      <c r="C21" s="19"/>
      <c r="D21" s="19"/>
      <c r="E21" s="19"/>
      <c r="F21" s="19"/>
    </row>
    <row r="22" spans="1:6" ht="15.75" thickBot="1" x14ac:dyDescent="0.3">
      <c r="A22" s="38" t="s">
        <v>19</v>
      </c>
      <c r="B22" s="29"/>
      <c r="C22" s="1"/>
      <c r="D22" s="1"/>
      <c r="E22" s="1"/>
      <c r="F22" s="1"/>
    </row>
    <row r="23" spans="1:6" x14ac:dyDescent="0.25">
      <c r="A23" s="30" t="s">
        <v>15</v>
      </c>
      <c r="B23" s="31">
        <f>SUM(B19:F19)</f>
        <v>129.97995841677644</v>
      </c>
      <c r="C23" s="1"/>
      <c r="D23" s="1"/>
      <c r="E23" s="1"/>
      <c r="F23" s="1"/>
    </row>
    <row r="24" spans="1:6" x14ac:dyDescent="0.25">
      <c r="A24" s="9" t="s">
        <v>16</v>
      </c>
      <c r="B24" s="32">
        <f>IF(B23&gt;1,B5,B4)</f>
        <v>0.3</v>
      </c>
      <c r="C24" s="1"/>
      <c r="D24" s="1"/>
      <c r="E24" s="1"/>
      <c r="F24" s="1"/>
    </row>
    <row r="25" spans="1:6" x14ac:dyDescent="0.25">
      <c r="A25" s="9" t="s">
        <v>17</v>
      </c>
      <c r="B25" s="33">
        <f>(1-B24)*B23</f>
        <v>90.985970891743506</v>
      </c>
      <c r="C25" s="1"/>
      <c r="D25" s="1"/>
      <c r="E25" s="1"/>
      <c r="F25" s="1"/>
    </row>
    <row r="26" spans="1:6" x14ac:dyDescent="0.25">
      <c r="A26" s="9" t="s">
        <v>18</v>
      </c>
      <c r="B26" s="33">
        <f>B24*B23</f>
        <v>38.993987525032928</v>
      </c>
      <c r="C26" s="1"/>
      <c r="D26" s="1"/>
      <c r="E26" s="1"/>
      <c r="F26" s="1"/>
    </row>
    <row r="27" spans="1:6" x14ac:dyDescent="0.25">
      <c r="A27" s="9" t="s">
        <v>44</v>
      </c>
      <c r="B27" s="33">
        <f>SUM(B20:F20)-SUM(B60:F60)</f>
        <v>20.744156901176396</v>
      </c>
      <c r="C27" s="1"/>
      <c r="D27" s="1"/>
      <c r="E27" s="1"/>
      <c r="F27" s="1"/>
    </row>
    <row r="28" spans="1:6" ht="15.75" thickBot="1" x14ac:dyDescent="0.3">
      <c r="A28" s="34" t="s">
        <v>26</v>
      </c>
      <c r="B28" s="35">
        <f>B26-B27</f>
        <v>18.249830623856532</v>
      </c>
      <c r="C28" s="1"/>
      <c r="D28" s="1"/>
      <c r="E28" s="1"/>
      <c r="F28" s="1"/>
    </row>
    <row r="30" spans="1:6" ht="15.75" thickBot="1" x14ac:dyDescent="0.3">
      <c r="A30" s="44" t="s">
        <v>21</v>
      </c>
      <c r="B30" s="45"/>
      <c r="C30" s="45"/>
      <c r="D30" s="45"/>
      <c r="E30" s="45"/>
      <c r="F30" s="45"/>
    </row>
    <row r="31" spans="1:6" ht="30" customHeight="1" x14ac:dyDescent="0.25">
      <c r="A31" s="55" t="s">
        <v>22</v>
      </c>
      <c r="B31" s="55"/>
      <c r="C31" s="55"/>
      <c r="D31" s="55"/>
      <c r="E31" s="55"/>
      <c r="F31" s="55"/>
    </row>
    <row r="32" spans="1:6" ht="30.75" customHeight="1" x14ac:dyDescent="0.25">
      <c r="A32" s="55" t="s">
        <v>25</v>
      </c>
      <c r="B32" s="55"/>
      <c r="C32" s="55"/>
      <c r="D32" s="55"/>
      <c r="E32" s="55"/>
      <c r="F32" s="55"/>
    </row>
    <row r="35" spans="1:6" x14ac:dyDescent="0.25">
      <c r="A35" s="40" t="s">
        <v>27</v>
      </c>
    </row>
    <row r="36" spans="1:6" x14ac:dyDescent="0.25">
      <c r="A36" t="s">
        <v>47</v>
      </c>
      <c r="B36" s="48">
        <v>0.04</v>
      </c>
    </row>
    <row r="37" spans="1:6" x14ac:dyDescent="0.25">
      <c r="A37" t="s">
        <v>29</v>
      </c>
      <c r="B37">
        <f>(B$9-B$8)*B36/2</f>
        <v>-2</v>
      </c>
      <c r="C37">
        <f>IF(ABS(SUM($B37:B37)+B37*2)&lt;=ABS($B10),B37*2,-$B10-SUM($B37:B37))</f>
        <v>-4</v>
      </c>
      <c r="D37">
        <f>IF(ABS(SUM($B37:C37)+C37)&lt;=ABS($B10),C37,-$B10-SUM($B37:C37))</f>
        <v>-4</v>
      </c>
      <c r="E37">
        <f>IF(ABS(SUM($B37:D37)+D37)&lt;=ABS($B10),D37,-$B10-SUM($B37:D37))</f>
        <v>-4</v>
      </c>
      <c r="F37">
        <f>IF(ABS(SUM($B37:E37)+E37)&lt;=ABS($B10),E37,-$B10-SUM($B37:E37))</f>
        <v>-4</v>
      </c>
    </row>
    <row r="38" spans="1:6" x14ac:dyDescent="0.25">
      <c r="A38" t="s">
        <v>30</v>
      </c>
      <c r="C38">
        <f>(C$9-C$8)*B36/2</f>
        <v>0</v>
      </c>
      <c r="D38">
        <f>IF(ABS(SUM($C38:C38)+C38*2)&lt;=ABS($C10),C38*2,-$C10-SUM($C38:C38))</f>
        <v>0</v>
      </c>
      <c r="E38">
        <f>IF(ABS(SUM($C38:D38)+D38)&lt;=ABS($C10),D38,-$C10-SUM($C38:D38))</f>
        <v>0</v>
      </c>
      <c r="F38">
        <f>IF(ABS(SUM($C38:E38)+E38)&lt;=ABS($C10),E38,-$C10-SUM($C38:E38))</f>
        <v>0</v>
      </c>
    </row>
    <row r="39" spans="1:6" x14ac:dyDescent="0.25">
      <c r="A39" t="s">
        <v>31</v>
      </c>
      <c r="D39">
        <f>(D$9-D$8)*B36/2</f>
        <v>0</v>
      </c>
      <c r="E39">
        <f>IF(ABS(SUM($D39:D39)+D39*2)&lt;=ABS($D10),D39*2,-$D10-SUM($D39:D39))</f>
        <v>0</v>
      </c>
      <c r="F39">
        <f>IF(ABS(SUM($D39:E39)+E39)&lt;=ABS($D10),E39,-$D10-SUM($D39:E39))</f>
        <v>0</v>
      </c>
    </row>
    <row r="40" spans="1:6" x14ac:dyDescent="0.25">
      <c r="A40" t="s">
        <v>32</v>
      </c>
      <c r="E40">
        <f>(E$9-E$8)*B36/2</f>
        <v>0</v>
      </c>
      <c r="F40">
        <f>IF(ABS(SUM($E40:E40)-E40*2)&lt;=ABS($E10),E40*2,-$E10-SUM($E40:E40))</f>
        <v>0</v>
      </c>
    </row>
    <row r="41" spans="1:6" x14ac:dyDescent="0.25">
      <c r="A41" t="s">
        <v>33</v>
      </c>
      <c r="F41">
        <f>(F$9-F$8)*B36/2</f>
        <v>0</v>
      </c>
    </row>
    <row r="42" spans="1:6" x14ac:dyDescent="0.25">
      <c r="A42" s="47" t="s">
        <v>28</v>
      </c>
      <c r="B42" s="47">
        <f>SUM(B37:B41)</f>
        <v>-2</v>
      </c>
      <c r="C42" s="47">
        <f t="shared" ref="C42:F42" si="2">SUM(C37:C41)</f>
        <v>-4</v>
      </c>
      <c r="D42" s="47">
        <f t="shared" si="2"/>
        <v>-4</v>
      </c>
      <c r="E42" s="47">
        <f t="shared" si="2"/>
        <v>-4</v>
      </c>
      <c r="F42" s="47">
        <f t="shared" si="2"/>
        <v>-4</v>
      </c>
    </row>
    <row r="44" spans="1:6" x14ac:dyDescent="0.25">
      <c r="A44" s="40" t="s">
        <v>34</v>
      </c>
    </row>
    <row r="45" spans="1:6" x14ac:dyDescent="0.25">
      <c r="A45" t="s">
        <v>35</v>
      </c>
      <c r="B45" s="48">
        <v>7.0000000000000007E-2</v>
      </c>
    </row>
    <row r="46" spans="1:6" x14ac:dyDescent="0.25">
      <c r="A46" t="s">
        <v>40</v>
      </c>
      <c r="B46" s="48">
        <v>0.6</v>
      </c>
    </row>
    <row r="47" spans="1:6" x14ac:dyDescent="0.25">
      <c r="A47" t="s">
        <v>29</v>
      </c>
      <c r="B47" s="39">
        <f>(B$9-B$8)*B46*B45/2</f>
        <v>-2.1</v>
      </c>
      <c r="C47" s="39">
        <f>B47*2</f>
        <v>-4.2</v>
      </c>
      <c r="D47" s="39">
        <f>C47</f>
        <v>-4.2</v>
      </c>
      <c r="E47" s="39">
        <f t="shared" ref="E47:F47" si="3">D47</f>
        <v>-4.2</v>
      </c>
      <c r="F47" s="39">
        <f t="shared" si="3"/>
        <v>-4.2</v>
      </c>
    </row>
    <row r="48" spans="1:6" x14ac:dyDescent="0.25">
      <c r="A48" t="s">
        <v>30</v>
      </c>
      <c r="B48" s="39"/>
      <c r="C48" s="39">
        <f>(C$9-C$8)*B46*B45/2</f>
        <v>0</v>
      </c>
      <c r="D48" s="39">
        <f>C48*2</f>
        <v>0</v>
      </c>
      <c r="E48" s="39">
        <f>D48</f>
        <v>0</v>
      </c>
      <c r="F48" s="39">
        <f>E48</f>
        <v>0</v>
      </c>
    </row>
    <row r="49" spans="1:6" x14ac:dyDescent="0.25">
      <c r="A49" t="s">
        <v>31</v>
      </c>
      <c r="B49" s="39"/>
      <c r="C49" s="39"/>
      <c r="D49" s="39">
        <f>(D$9-D$8)*B46*B45/2</f>
        <v>0</v>
      </c>
      <c r="E49" s="39">
        <f>D49*2</f>
        <v>0</v>
      </c>
      <c r="F49" s="39">
        <f>E49</f>
        <v>0</v>
      </c>
    </row>
    <row r="50" spans="1:6" x14ac:dyDescent="0.25">
      <c r="A50" t="s">
        <v>32</v>
      </c>
      <c r="B50" s="39"/>
      <c r="C50" s="39"/>
      <c r="D50" s="39"/>
      <c r="E50" s="39">
        <f>(E$9-E$8)*B46*B45/2</f>
        <v>0</v>
      </c>
      <c r="F50" s="39">
        <f>E50*2</f>
        <v>0</v>
      </c>
    </row>
    <row r="51" spans="1:6" x14ac:dyDescent="0.25">
      <c r="A51" t="s">
        <v>33</v>
      </c>
      <c r="B51" s="39"/>
      <c r="C51" s="39"/>
      <c r="D51" s="39"/>
      <c r="E51" s="39"/>
      <c r="F51" s="39">
        <f>(F$9-F$8)*B46*B45/2</f>
        <v>0</v>
      </c>
    </row>
    <row r="52" spans="1:6" x14ac:dyDescent="0.25">
      <c r="A52" s="47" t="s">
        <v>28</v>
      </c>
      <c r="B52" s="49">
        <f>SUM(B47:B51)</f>
        <v>-2.1</v>
      </c>
      <c r="C52" s="49">
        <f t="shared" ref="C52" si="4">SUM(C47:C51)</f>
        <v>-4.2</v>
      </c>
      <c r="D52" s="49">
        <f t="shared" ref="D52" si="5">SUM(D47:D51)</f>
        <v>-4.2</v>
      </c>
      <c r="E52" s="49">
        <f t="shared" ref="E52" si="6">SUM(E47:E51)</f>
        <v>-4.2</v>
      </c>
      <c r="F52" s="49">
        <f t="shared" ref="F52" si="7">SUM(F47:F51)</f>
        <v>-4.2</v>
      </c>
    </row>
    <row r="54" spans="1:6" x14ac:dyDescent="0.25">
      <c r="A54" t="s">
        <v>36</v>
      </c>
      <c r="B54" s="39">
        <f>B42+B52</f>
        <v>-4.0999999999999996</v>
      </c>
      <c r="C54" s="39">
        <f t="shared" ref="C54:F54" si="8">C42+C52</f>
        <v>-8.1999999999999993</v>
      </c>
      <c r="D54" s="39">
        <f t="shared" si="8"/>
        <v>-8.1999999999999993</v>
      </c>
      <c r="E54" s="39">
        <f t="shared" si="8"/>
        <v>-8.1999999999999993</v>
      </c>
      <c r="F54" s="39">
        <f t="shared" si="8"/>
        <v>-8.1999999999999993</v>
      </c>
    </row>
    <row r="55" spans="1:6" x14ac:dyDescent="0.25">
      <c r="A55" t="s">
        <v>38</v>
      </c>
      <c r="B55" s="48">
        <v>0.3</v>
      </c>
      <c r="C55" s="39"/>
      <c r="D55" s="39"/>
      <c r="E55" s="39"/>
      <c r="F55" s="39"/>
    </row>
    <row r="56" spans="1:6" x14ac:dyDescent="0.25">
      <c r="A56" t="s">
        <v>39</v>
      </c>
      <c r="B56" s="50">
        <v>0.25</v>
      </c>
      <c r="C56" s="39"/>
      <c r="D56" s="39"/>
      <c r="E56" s="39"/>
      <c r="F56" s="39"/>
    </row>
    <row r="57" spans="1:6" x14ac:dyDescent="0.25">
      <c r="A57" t="s">
        <v>37</v>
      </c>
      <c r="B57" s="39">
        <f>-B54*$B$55</f>
        <v>1.2299999999999998</v>
      </c>
      <c r="C57" s="39">
        <f t="shared" ref="C57:F57" si="9">-C54*$B$55</f>
        <v>2.4599999999999995</v>
      </c>
      <c r="D57" s="39">
        <f t="shared" si="9"/>
        <v>2.4599999999999995</v>
      </c>
      <c r="E57" s="39">
        <f t="shared" si="9"/>
        <v>2.4599999999999995</v>
      </c>
      <c r="F57" s="39">
        <f t="shared" si="9"/>
        <v>2.4599999999999995</v>
      </c>
    </row>
    <row r="58" spans="1:6" x14ac:dyDescent="0.25">
      <c r="A58" t="s">
        <v>39</v>
      </c>
      <c r="B58" s="39">
        <f>B57*$B$56</f>
        <v>0.30749999999999994</v>
      </c>
      <c r="C58" s="39">
        <f t="shared" ref="C58:F58" si="10">C57*$B$56</f>
        <v>0.61499999999999988</v>
      </c>
      <c r="D58" s="39">
        <f t="shared" si="10"/>
        <v>0.61499999999999988</v>
      </c>
      <c r="E58" s="39">
        <f t="shared" si="10"/>
        <v>0.61499999999999988</v>
      </c>
      <c r="F58" s="39">
        <f t="shared" si="10"/>
        <v>0.61499999999999988</v>
      </c>
    </row>
    <row r="59" spans="1:6" x14ac:dyDescent="0.25">
      <c r="A59" s="47" t="s">
        <v>41</v>
      </c>
      <c r="B59" s="49">
        <f>B57-B58</f>
        <v>0.92249999999999988</v>
      </c>
      <c r="C59" s="49">
        <f t="shared" ref="C59:F59" si="11">C57-C58</f>
        <v>1.8449999999999998</v>
      </c>
      <c r="D59" s="49">
        <f t="shared" si="11"/>
        <v>1.8449999999999998</v>
      </c>
      <c r="E59" s="49">
        <f t="shared" si="11"/>
        <v>1.8449999999999998</v>
      </c>
      <c r="F59" s="49">
        <f t="shared" si="11"/>
        <v>1.8449999999999998</v>
      </c>
    </row>
    <row r="60" spans="1:6" x14ac:dyDescent="0.25">
      <c r="A60" t="s">
        <v>42</v>
      </c>
      <c r="B60" s="39">
        <f>B59*B18</f>
        <v>1.1646349956000002</v>
      </c>
      <c r="C60" s="39">
        <f t="shared" ref="C60:F60" si="12">C59*C18</f>
        <v>2.1974245200000002</v>
      </c>
      <c r="D60" s="39">
        <f t="shared" si="12"/>
        <v>2.0730420000000001</v>
      </c>
      <c r="E60" s="39">
        <f t="shared" si="12"/>
        <v>1.9556999999999998</v>
      </c>
      <c r="F60" s="39">
        <f t="shared" si="12"/>
        <v>1.8449999999999998</v>
      </c>
    </row>
    <row r="61" spans="1:6" x14ac:dyDescent="0.25">
      <c r="A61" t="s">
        <v>43</v>
      </c>
      <c r="B61" s="39">
        <f>SUM(B60:F60)</f>
        <v>9.2358015155999986</v>
      </c>
    </row>
    <row r="62" spans="1:6" x14ac:dyDescent="0.25">
      <c r="A62" t="s">
        <v>45</v>
      </c>
      <c r="B62" s="51">
        <f>B61/B23</f>
        <v>7.1055581399600901E-2</v>
      </c>
    </row>
    <row r="63" spans="1:6" x14ac:dyDescent="0.25">
      <c r="A63" t="s">
        <v>46</v>
      </c>
      <c r="B63" s="46">
        <f>B24-B62</f>
        <v>0.2289444186003991</v>
      </c>
    </row>
    <row r="64" spans="1:6" x14ac:dyDescent="0.25">
      <c r="B64" s="46"/>
    </row>
    <row r="65" spans="2:6" x14ac:dyDescent="0.25">
      <c r="B65" s="53"/>
      <c r="C65" s="53"/>
      <c r="D65" s="53"/>
      <c r="E65" s="53"/>
      <c r="F65" s="53"/>
    </row>
    <row r="66" spans="2:6" x14ac:dyDescent="0.25">
      <c r="B66" s="52"/>
      <c r="C66" s="52"/>
      <c r="D66" s="52"/>
      <c r="E66" s="52"/>
      <c r="F66" s="52"/>
    </row>
    <row r="67" spans="2:6" x14ac:dyDescent="0.25">
      <c r="B67" s="52"/>
      <c r="C67" s="52"/>
      <c r="D67" s="52"/>
      <c r="E67" s="52"/>
      <c r="F67" s="52"/>
    </row>
  </sheetData>
  <mergeCells count="3">
    <mergeCell ref="A1:F1"/>
    <mergeCell ref="A31:F31"/>
    <mergeCell ref="A32:F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Basic model with tax adjustment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2013-09-20T07:53:54Z</dcterms:created>
  <dcterms:modified xsi:type="dcterms:W3CDTF">2013-09-20T07:54:24Z</dcterms:modified>
</cp:coreProperties>
</file>